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670" yWindow="630" windowWidth="18915" windowHeight="6825" tabRatio="601" activeTab="2"/>
  </bookViews>
  <sheets>
    <sheet name="TB" sheetId="5" r:id="rId1"/>
    <sheet name="TB (2)" sheetId="9" r:id="rId2"/>
    <sheet name="BS" sheetId="1" r:id="rId3"/>
    <sheet name="BS SCHED" sheetId="2" r:id="rId4"/>
    <sheet name="IS" sheetId="3" r:id="rId5"/>
    <sheet name="IS SCHED" sheetId="4" r:id="rId6"/>
    <sheet name="Lapsing" sheetId="6" r:id="rId7"/>
    <sheet name="C.O.S (2)" sheetId="10" r:id="rId8"/>
  </sheets>
  <externalReferences>
    <externalReference r:id="rId9"/>
    <externalReference r:id="rId10"/>
    <externalReference r:id="rId11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2">BS!$A$1:$H$48</definedName>
    <definedName name="_xlnm.Print_Area" localSheetId="3">'BS SCHED'!$A$87:$J$134</definedName>
    <definedName name="_xlnm.Print_Area" localSheetId="7">'C.O.S (2)'!$A$1:$F$88</definedName>
    <definedName name="_xlnm.Print_Area" localSheetId="4">IS!$A$1:$AT$50</definedName>
    <definedName name="_xlnm.Print_Area" localSheetId="5">'IS SCHED'!$A$1:$AC$47</definedName>
    <definedName name="_xlnm.Print_Area" localSheetId="6">Lapsing!$A$1:$W$68</definedName>
    <definedName name="_xlnm.Print_Area" localSheetId="0">TB!$A$1:$H$89</definedName>
    <definedName name="_xlnm.Print_Titles" localSheetId="3">'BS SCHED'!$A:$G</definedName>
    <definedName name="_xlnm.Print_Titles" localSheetId="5">'IS SCHED'!$A:$T</definedName>
    <definedName name="_xlnm.Print_Titles" localSheetId="6">Lapsing!$1:$5</definedName>
  </definedNames>
  <calcPr calcId="125725" fullCalcOnLoad="1"/>
</workbook>
</file>

<file path=xl/calcChain.xml><?xml version="1.0" encoding="utf-8"?>
<calcChain xmlns="http://schemas.openxmlformats.org/spreadsheetml/2006/main">
  <c r="D12" i="3"/>
  <c r="F12" s="1"/>
  <c r="F8" i="5"/>
  <c r="W23" i="6"/>
  <c r="AI23" s="1"/>
  <c r="W44"/>
  <c r="F9" i="5"/>
  <c r="D35" i="1"/>
  <c r="D37" s="1"/>
  <c r="J140" i="2"/>
  <c r="J136"/>
  <c r="F11" i="5"/>
  <c r="G42"/>
  <c r="H42"/>
  <c r="J184" i="2" s="1"/>
  <c r="J181"/>
  <c r="J182"/>
  <c r="F27" i="5"/>
  <c r="G27" s="1"/>
  <c r="H27" s="1"/>
  <c r="J168" i="2" s="1"/>
  <c r="G37" i="5"/>
  <c r="H37"/>
  <c r="J180" i="2" s="1"/>
  <c r="J132"/>
  <c r="J144"/>
  <c r="J155"/>
  <c r="J158"/>
  <c r="J114"/>
  <c r="G11" i="5"/>
  <c r="H11" s="1"/>
  <c r="J116" i="2" s="1"/>
  <c r="G10" i="5"/>
  <c r="H10"/>
  <c r="J23" i="2" s="1"/>
  <c r="G9" i="5"/>
  <c r="H9" s="1"/>
  <c r="K96" i="2"/>
  <c r="K95"/>
  <c r="K94"/>
  <c r="K93"/>
  <c r="K92"/>
  <c r="K91"/>
  <c r="K90"/>
  <c r="K89"/>
  <c r="K88"/>
  <c r="K87"/>
  <c r="K86"/>
  <c r="K85"/>
  <c r="K84"/>
  <c r="K83"/>
  <c r="K82"/>
  <c r="K81"/>
  <c r="K80"/>
  <c r="K79"/>
  <c r="K77"/>
  <c r="K76"/>
  <c r="K75"/>
  <c r="K72"/>
  <c r="K71"/>
  <c r="K69"/>
  <c r="K68"/>
  <c r="K67"/>
  <c r="K66"/>
  <c r="K65"/>
  <c r="K64"/>
  <c r="K62"/>
  <c r="K61"/>
  <c r="K59"/>
  <c r="K58"/>
  <c r="K57"/>
  <c r="K56"/>
  <c r="K55"/>
  <c r="K54"/>
  <c r="K53"/>
  <c r="K52"/>
  <c r="K50"/>
  <c r="K48"/>
  <c r="K47"/>
  <c r="K45"/>
  <c r="K43"/>
  <c r="K41"/>
  <c r="K39"/>
  <c r="K38"/>
  <c r="K37"/>
  <c r="K36"/>
  <c r="G54" i="5"/>
  <c r="D48" i="3"/>
  <c r="G62" i="5"/>
  <c r="D24" i="3"/>
  <c r="D26"/>
  <c r="D30"/>
  <c r="D38"/>
  <c r="F38" s="1"/>
  <c r="G63" i="5"/>
  <c r="H63" s="1"/>
  <c r="G35"/>
  <c r="W63" i="6"/>
  <c r="W64"/>
  <c r="W65"/>
  <c r="W66"/>
  <c r="W67"/>
  <c r="W69"/>
  <c r="W62"/>
  <c r="W46"/>
  <c r="W48"/>
  <c r="W50"/>
  <c r="W51"/>
  <c r="W52"/>
  <c r="W24"/>
  <c r="AI24" s="1"/>
  <c r="W29"/>
  <c r="W30"/>
  <c r="AI30" s="1"/>
  <c r="W31"/>
  <c r="W32"/>
  <c r="AI32" s="1"/>
  <c r="W33"/>
  <c r="W34"/>
  <c r="AI34" s="1"/>
  <c r="W35"/>
  <c r="W36"/>
  <c r="AI36" s="1"/>
  <c r="W9"/>
  <c r="W10"/>
  <c r="W11"/>
  <c r="W12"/>
  <c r="W14"/>
  <c r="W15"/>
  <c r="AI62"/>
  <c r="AI63"/>
  <c r="AJ63" s="1"/>
  <c r="AI64"/>
  <c r="AJ64" s="1"/>
  <c r="AI65"/>
  <c r="AJ65" s="1"/>
  <c r="AI66"/>
  <c r="AJ66" s="1"/>
  <c r="AI67"/>
  <c r="AJ67" s="1"/>
  <c r="AI69"/>
  <c r="AJ69" s="1"/>
  <c r="AH71"/>
  <c r="AG71"/>
  <c r="AF71"/>
  <c r="AE71"/>
  <c r="AD71"/>
  <c r="AC71"/>
  <c r="AB71"/>
  <c r="AA71"/>
  <c r="Z71"/>
  <c r="Y71"/>
  <c r="X71"/>
  <c r="U62"/>
  <c r="U63"/>
  <c r="Q64"/>
  <c r="R64"/>
  <c r="S64"/>
  <c r="T64"/>
  <c r="U64"/>
  <c r="U65"/>
  <c r="U66"/>
  <c r="U67"/>
  <c r="E68"/>
  <c r="U69"/>
  <c r="T71"/>
  <c r="S71"/>
  <c r="Q71"/>
  <c r="P71"/>
  <c r="O71"/>
  <c r="N71"/>
  <c r="M71"/>
  <c r="L71"/>
  <c r="K71"/>
  <c r="J71"/>
  <c r="I71"/>
  <c r="E62"/>
  <c r="G62"/>
  <c r="G63"/>
  <c r="H63" s="1"/>
  <c r="G64"/>
  <c r="H64" s="1"/>
  <c r="G65"/>
  <c r="H65" s="1"/>
  <c r="G66"/>
  <c r="H66" s="1"/>
  <c r="G67"/>
  <c r="H67" s="1"/>
  <c r="G69"/>
  <c r="H69" s="1"/>
  <c r="F62"/>
  <c r="F63"/>
  <c r="F64"/>
  <c r="F65"/>
  <c r="F66"/>
  <c r="F67"/>
  <c r="F68"/>
  <c r="F69"/>
  <c r="F71"/>
  <c r="AI44"/>
  <c r="AJ44" s="1"/>
  <c r="AI46"/>
  <c r="AJ46" s="1"/>
  <c r="AI48"/>
  <c r="AJ48" s="1"/>
  <c r="AI50"/>
  <c r="AJ50" s="1"/>
  <c r="AI51"/>
  <c r="AJ51" s="1"/>
  <c r="AI52"/>
  <c r="AJ52" s="1"/>
  <c r="AI53"/>
  <c r="AJ53" s="1"/>
  <c r="AJ23"/>
  <c r="AJ24"/>
  <c r="AI29"/>
  <c r="AJ29"/>
  <c r="AJ30"/>
  <c r="AI31"/>
  <c r="AJ31"/>
  <c r="AJ32"/>
  <c r="AI33"/>
  <c r="AJ33"/>
  <c r="AJ34"/>
  <c r="AI35"/>
  <c r="AJ35"/>
  <c r="AJ36"/>
  <c r="AI37"/>
  <c r="AJ37"/>
  <c r="AI38"/>
  <c r="AJ38"/>
  <c r="AI9"/>
  <c r="AJ9" s="1"/>
  <c r="AI10"/>
  <c r="AJ10" s="1"/>
  <c r="AI11"/>
  <c r="AJ11" s="1"/>
  <c r="AI12"/>
  <c r="AJ12" s="1"/>
  <c r="AI14"/>
  <c r="AJ14" s="1"/>
  <c r="AI15"/>
  <c r="AJ15" s="1"/>
  <c r="AH54"/>
  <c r="AH39"/>
  <c r="AH19"/>
  <c r="AH56"/>
  <c r="AG54"/>
  <c r="AG39"/>
  <c r="AG19"/>
  <c r="AG56"/>
  <c r="AF54"/>
  <c r="AF39"/>
  <c r="AF19"/>
  <c r="AF56"/>
  <c r="AE54"/>
  <c r="AE39"/>
  <c r="AE19"/>
  <c r="AE56"/>
  <c r="AD54"/>
  <c r="AD39"/>
  <c r="AD19"/>
  <c r="AD56"/>
  <c r="AC54"/>
  <c r="AC39"/>
  <c r="AC19"/>
  <c r="AC56"/>
  <c r="AB54"/>
  <c r="AB39"/>
  <c r="AB19"/>
  <c r="AB56"/>
  <c r="AA54"/>
  <c r="AA39"/>
  <c r="AA19"/>
  <c r="AA56"/>
  <c r="Z54"/>
  <c r="Z39"/>
  <c r="Z19"/>
  <c r="Z56"/>
  <c r="Y54"/>
  <c r="Y39"/>
  <c r="Y19"/>
  <c r="Y56"/>
  <c r="X54"/>
  <c r="X39"/>
  <c r="X19"/>
  <c r="X56"/>
  <c r="U44"/>
  <c r="U45"/>
  <c r="U46"/>
  <c r="U47"/>
  <c r="U48"/>
  <c r="E49"/>
  <c r="H50"/>
  <c r="R50" s="1"/>
  <c r="U50" s="1"/>
  <c r="U22"/>
  <c r="U23"/>
  <c r="U24"/>
  <c r="E25"/>
  <c r="W25" s="1"/>
  <c r="AI25" s="1"/>
  <c r="AJ25" s="1"/>
  <c r="H25"/>
  <c r="R25" s="1"/>
  <c r="R39" s="1"/>
  <c r="U26"/>
  <c r="U27"/>
  <c r="U28"/>
  <c r="U7"/>
  <c r="U8"/>
  <c r="U9"/>
  <c r="U10"/>
  <c r="U11"/>
  <c r="U12"/>
  <c r="U13"/>
  <c r="U14"/>
  <c r="H15"/>
  <c r="R15"/>
  <c r="U15" s="1"/>
  <c r="E16"/>
  <c r="G16" s="1"/>
  <c r="H16"/>
  <c r="R16" s="1"/>
  <c r="U16"/>
  <c r="E17"/>
  <c r="W17" s="1"/>
  <c r="AI17" s="1"/>
  <c r="AJ17" s="1"/>
  <c r="G17"/>
  <c r="H17" s="1"/>
  <c r="T17" s="1"/>
  <c r="T54"/>
  <c r="T39"/>
  <c r="S39"/>
  <c r="S19"/>
  <c r="R54"/>
  <c r="R56" s="1"/>
  <c r="R19"/>
  <c r="Q54"/>
  <c r="Q39"/>
  <c r="Q19"/>
  <c r="P54"/>
  <c r="P39"/>
  <c r="P19"/>
  <c r="O54"/>
  <c r="O39"/>
  <c r="O19"/>
  <c r="N54"/>
  <c r="N39"/>
  <c r="N19"/>
  <c r="M54"/>
  <c r="M39"/>
  <c r="M19"/>
  <c r="L54"/>
  <c r="L39"/>
  <c r="L19"/>
  <c r="K54"/>
  <c r="K39"/>
  <c r="K19"/>
  <c r="J54"/>
  <c r="J39"/>
  <c r="J19"/>
  <c r="I54"/>
  <c r="I39"/>
  <c r="I19"/>
  <c r="H44"/>
  <c r="E45"/>
  <c r="W45" s="1"/>
  <c r="AI45" s="1"/>
  <c r="H45"/>
  <c r="E46"/>
  <c r="H46"/>
  <c r="E47"/>
  <c r="W47" s="1"/>
  <c r="AI47" s="1"/>
  <c r="AJ47" s="1"/>
  <c r="H47"/>
  <c r="E48"/>
  <c r="H48"/>
  <c r="E22"/>
  <c r="H23"/>
  <c r="H24"/>
  <c r="E26"/>
  <c r="E27"/>
  <c r="E28"/>
  <c r="W28" s="1"/>
  <c r="AI28" s="1"/>
  <c r="AJ28" s="1"/>
  <c r="E7"/>
  <c r="W7" s="1"/>
  <c r="G7"/>
  <c r="E8"/>
  <c r="G9"/>
  <c r="H9"/>
  <c r="E10"/>
  <c r="G10"/>
  <c r="H10" s="1"/>
  <c r="G11"/>
  <c r="H11" s="1"/>
  <c r="G12"/>
  <c r="H12" s="1"/>
  <c r="E13"/>
  <c r="E14"/>
  <c r="G14"/>
  <c r="H14" s="1"/>
  <c r="E18"/>
  <c r="G18" s="1"/>
  <c r="H18"/>
  <c r="G44"/>
  <c r="G45"/>
  <c r="G46"/>
  <c r="G47"/>
  <c r="G48"/>
  <c r="G49"/>
  <c r="G50"/>
  <c r="G54"/>
  <c r="G23"/>
  <c r="G24"/>
  <c r="G25"/>
  <c r="G27"/>
  <c r="F44"/>
  <c r="F45"/>
  <c r="F46"/>
  <c r="F47"/>
  <c r="F48"/>
  <c r="F49"/>
  <c r="F50"/>
  <c r="F54"/>
  <c r="F23"/>
  <c r="F24"/>
  <c r="F25"/>
  <c r="F27"/>
  <c r="F7"/>
  <c r="F8"/>
  <c r="F9"/>
  <c r="F10"/>
  <c r="F11"/>
  <c r="F12"/>
  <c r="F14"/>
  <c r="F15"/>
  <c r="F16"/>
  <c r="F17"/>
  <c r="F18"/>
  <c r="E39"/>
  <c r="D31" i="10"/>
  <c r="E31"/>
  <c r="F31"/>
  <c r="D83"/>
  <c r="E83"/>
  <c r="F83"/>
  <c r="D66"/>
  <c r="E66"/>
  <c r="F66"/>
  <c r="D71"/>
  <c r="E71"/>
  <c r="F71"/>
  <c r="D33"/>
  <c r="E33"/>
  <c r="F33"/>
  <c r="D34"/>
  <c r="E34"/>
  <c r="F34"/>
  <c r="D35"/>
  <c r="E35"/>
  <c r="F35"/>
  <c r="D36"/>
  <c r="E36"/>
  <c r="F36"/>
  <c r="D37"/>
  <c r="E37"/>
  <c r="F37"/>
  <c r="D38"/>
  <c r="E38"/>
  <c r="F38"/>
  <c r="D39"/>
  <c r="D40"/>
  <c r="D41"/>
  <c r="E39"/>
  <c r="F39"/>
  <c r="E40"/>
  <c r="F40"/>
  <c r="E41"/>
  <c r="F41"/>
  <c r="D9"/>
  <c r="F9"/>
  <c r="D10"/>
  <c r="F10"/>
  <c r="D11"/>
  <c r="F11"/>
  <c r="E9"/>
  <c r="E10"/>
  <c r="E11"/>
  <c r="E7"/>
  <c r="E8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2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7"/>
  <c r="E68"/>
  <c r="E69"/>
  <c r="E70"/>
  <c r="E72"/>
  <c r="E73"/>
  <c r="E74"/>
  <c r="E75"/>
  <c r="E76"/>
  <c r="E77"/>
  <c r="E78"/>
  <c r="E79"/>
  <c r="E80"/>
  <c r="E81"/>
  <c r="E82"/>
  <c r="E84"/>
  <c r="E85"/>
  <c r="E86"/>
  <c r="E87"/>
  <c r="D7"/>
  <c r="F7"/>
  <c r="D8"/>
  <c r="F8"/>
  <c r="D12"/>
  <c r="F12"/>
  <c r="D13"/>
  <c r="F13"/>
  <c r="D14"/>
  <c r="F14"/>
  <c r="D15"/>
  <c r="F15"/>
  <c r="D16"/>
  <c r="F16"/>
  <c r="D17"/>
  <c r="F17"/>
  <c r="D18"/>
  <c r="F18"/>
  <c r="D19"/>
  <c r="F19"/>
  <c r="D20"/>
  <c r="F20"/>
  <c r="D21"/>
  <c r="F21"/>
  <c r="D22"/>
  <c r="F22"/>
  <c r="D23"/>
  <c r="F23"/>
  <c r="D24"/>
  <c r="F24"/>
  <c r="D25"/>
  <c r="F25"/>
  <c r="D26"/>
  <c r="F26"/>
  <c r="D27"/>
  <c r="F27"/>
  <c r="D28"/>
  <c r="F28"/>
  <c r="D29"/>
  <c r="F29"/>
  <c r="D30"/>
  <c r="F30"/>
  <c r="D32"/>
  <c r="F32"/>
  <c r="D42"/>
  <c r="F42"/>
  <c r="D43"/>
  <c r="F43"/>
  <c r="D44"/>
  <c r="F44"/>
  <c r="D45"/>
  <c r="F45"/>
  <c r="D46"/>
  <c r="F46"/>
  <c r="D47"/>
  <c r="F47"/>
  <c r="D48"/>
  <c r="F48"/>
  <c r="D49"/>
  <c r="F49"/>
  <c r="D50"/>
  <c r="F50"/>
  <c r="D51"/>
  <c r="F51"/>
  <c r="D52"/>
  <c r="F52"/>
  <c r="D53"/>
  <c r="F53"/>
  <c r="D54"/>
  <c r="F54"/>
  <c r="D55"/>
  <c r="F55"/>
  <c r="D56"/>
  <c r="F56"/>
  <c r="D57"/>
  <c r="F57"/>
  <c r="D58"/>
  <c r="F58"/>
  <c r="D59"/>
  <c r="F59"/>
  <c r="D60"/>
  <c r="F60"/>
  <c r="D61"/>
  <c r="F61"/>
  <c r="D62"/>
  <c r="F62"/>
  <c r="D63"/>
  <c r="F63"/>
  <c r="D64"/>
  <c r="F64"/>
  <c r="D65"/>
  <c r="F65"/>
  <c r="D67"/>
  <c r="F67"/>
  <c r="D68"/>
  <c r="F68"/>
  <c r="D69"/>
  <c r="F69"/>
  <c r="D70"/>
  <c r="F70"/>
  <c r="D72"/>
  <c r="F72"/>
  <c r="D73"/>
  <c r="F73"/>
  <c r="D74"/>
  <c r="F74"/>
  <c r="D75"/>
  <c r="F75"/>
  <c r="D76"/>
  <c r="F76"/>
  <c r="D77"/>
  <c r="F77"/>
  <c r="D78"/>
  <c r="F78"/>
  <c r="D79"/>
  <c r="F79"/>
  <c r="D80"/>
  <c r="F80"/>
  <c r="D81"/>
  <c r="F81"/>
  <c r="D82"/>
  <c r="F82"/>
  <c r="D84"/>
  <c r="F84"/>
  <c r="D85"/>
  <c r="F85"/>
  <c r="D86"/>
  <c r="F86"/>
  <c r="G12" i="5"/>
  <c r="H12" s="1"/>
  <c r="B88"/>
  <c r="C88"/>
  <c r="G47"/>
  <c r="G59"/>
  <c r="D18" i="3" s="1"/>
  <c r="F18" s="1"/>
  <c r="G72" i="5"/>
  <c r="H72" s="1"/>
  <c r="G61"/>
  <c r="D33" i="3" s="1"/>
  <c r="F33" s="1"/>
  <c r="G64" i="5"/>
  <c r="H64" s="1"/>
  <c r="G68"/>
  <c r="D20" i="3" s="1"/>
  <c r="G57" i="5"/>
  <c r="G70"/>
  <c r="G77"/>
  <c r="G80"/>
  <c r="D27" i="3" s="1"/>
  <c r="F27" s="1"/>
  <c r="G69" i="5"/>
  <c r="H69" s="1"/>
  <c r="G56"/>
  <c r="G66"/>
  <c r="D37" i="3" s="1"/>
  <c r="F37" s="1"/>
  <c r="H59" i="5"/>
  <c r="H61"/>
  <c r="H68"/>
  <c r="H70"/>
  <c r="H80"/>
  <c r="H56"/>
  <c r="J147" i="2" s="1"/>
  <c r="J148" s="1"/>
  <c r="H54" i="5"/>
  <c r="H66"/>
  <c r="H62"/>
  <c r="G29"/>
  <c r="G30"/>
  <c r="H30" s="1"/>
  <c r="J173" i="2" s="1"/>
  <c r="G31" i="5"/>
  <c r="G32"/>
  <c r="H32" s="1"/>
  <c r="G33"/>
  <c r="G34"/>
  <c r="H34" s="1"/>
  <c r="J177" i="2" s="1"/>
  <c r="G38" i="5"/>
  <c r="G36"/>
  <c r="G22"/>
  <c r="G24"/>
  <c r="G40"/>
  <c r="G18"/>
  <c r="H18" s="1"/>
  <c r="D17" i="1" s="1"/>
  <c r="G7" i="5"/>
  <c r="G15"/>
  <c r="H15" s="1"/>
  <c r="G14"/>
  <c r="H41"/>
  <c r="H40"/>
  <c r="H46"/>
  <c r="H29"/>
  <c r="J172" i="2" s="1"/>
  <c r="H31" i="5"/>
  <c r="J174" i="2" s="1"/>
  <c r="H33" i="5"/>
  <c r="H35"/>
  <c r="J178" i="2" s="1"/>
  <c r="H38" i="5"/>
  <c r="H36"/>
  <c r="J179" i="2" s="1"/>
  <c r="H22" i="5"/>
  <c r="H24"/>
  <c r="H7"/>
  <c r="H14"/>
  <c r="E8"/>
  <c r="D8"/>
  <c r="G8" s="1"/>
  <c r="H8" s="1"/>
  <c r="G41"/>
  <c r="G39"/>
  <c r="H39" s="1"/>
  <c r="J183" i="2" s="1"/>
  <c r="G28" i="5"/>
  <c r="H28" s="1"/>
  <c r="G16"/>
  <c r="H16" s="1"/>
  <c r="G46"/>
  <c r="G48"/>
  <c r="H48"/>
  <c r="G49"/>
  <c r="H49"/>
  <c r="G50"/>
  <c r="H50"/>
  <c r="G51"/>
  <c r="H51"/>
  <c r="G52"/>
  <c r="G53"/>
  <c r="D14" i="3" s="1"/>
  <c r="F14" s="1"/>
  <c r="G65" i="5"/>
  <c r="D19" i="3" s="1"/>
  <c r="F19" s="1"/>
  <c r="F20"/>
  <c r="G79" i="5"/>
  <c r="D22" i="3" s="1"/>
  <c r="F22" s="1"/>
  <c r="F24"/>
  <c r="G81" i="5"/>
  <c r="D25" i="3" s="1"/>
  <c r="F25" s="1"/>
  <c r="G75" i="5"/>
  <c r="F26" i="3"/>
  <c r="G78" i="5"/>
  <c r="D29" i="3" s="1"/>
  <c r="F29"/>
  <c r="G67" i="5"/>
  <c r="F30" i="3"/>
  <c r="G83" i="5"/>
  <c r="D34" i="3" s="1"/>
  <c r="F34" s="1"/>
  <c r="G84" i="5"/>
  <c r="D35" i="3" s="1"/>
  <c r="F35" s="1"/>
  <c r="G71" i="5"/>
  <c r="D36" i="3" s="1"/>
  <c r="F36" s="1"/>
  <c r="G86" i="5"/>
  <c r="D39" i="3" s="1"/>
  <c r="F39" s="1"/>
  <c r="F48"/>
  <c r="G87" i="5"/>
  <c r="D49" i="3" s="1"/>
  <c r="F49" s="1"/>
  <c r="G23" i="5"/>
  <c r="H23" s="1"/>
  <c r="D27" i="1"/>
  <c r="G19" i="5"/>
  <c r="H19"/>
  <c r="G20"/>
  <c r="H20"/>
  <c r="G21"/>
  <c r="H21"/>
  <c r="G17"/>
  <c r="H17" s="1"/>
  <c r="D15" i="1"/>
  <c r="D13"/>
  <c r="D11"/>
  <c r="G25" i="5"/>
  <c r="H25"/>
  <c r="M25"/>
  <c r="N25"/>
  <c r="S25"/>
  <c r="T25"/>
  <c r="D28" i="1" s="1"/>
  <c r="M10" i="5"/>
  <c r="S10"/>
  <c r="Y10"/>
  <c r="M9"/>
  <c r="S9"/>
  <c r="Y9"/>
  <c r="M8"/>
  <c r="S8"/>
  <c r="Y8"/>
  <c r="Y62"/>
  <c r="P24" i="3" s="1"/>
  <c r="M47" i="5"/>
  <c r="M48"/>
  <c r="M49"/>
  <c r="M50"/>
  <c r="M51"/>
  <c r="S47"/>
  <c r="S48"/>
  <c r="S49"/>
  <c r="S50"/>
  <c r="S51"/>
  <c r="L9" i="3"/>
  <c r="Y47" i="5"/>
  <c r="Y48"/>
  <c r="Y49"/>
  <c r="Y50"/>
  <c r="Y51"/>
  <c r="M56"/>
  <c r="M57"/>
  <c r="H11" i="3" s="1"/>
  <c r="S56" i="5"/>
  <c r="S57"/>
  <c r="L11" i="3" s="1"/>
  <c r="Y56" i="5"/>
  <c r="Y57"/>
  <c r="P11" i="3" s="1"/>
  <c r="M52" i="5"/>
  <c r="H12" i="3"/>
  <c r="S52" i="5"/>
  <c r="L12" i="3" s="1"/>
  <c r="Y52" i="5"/>
  <c r="P12" i="3"/>
  <c r="AD9" i="5"/>
  <c r="AD86"/>
  <c r="AD18"/>
  <c r="R59"/>
  <c r="C87" i="10"/>
  <c r="N56" i="5"/>
  <c r="T56" s="1"/>
  <c r="Z56" s="1"/>
  <c r="AF56" s="1"/>
  <c r="AE56"/>
  <c r="AE28"/>
  <c r="M28"/>
  <c r="S28"/>
  <c r="Y28"/>
  <c r="M36"/>
  <c r="N36"/>
  <c r="S36"/>
  <c r="T36"/>
  <c r="Y36"/>
  <c r="Z36"/>
  <c r="AE36"/>
  <c r="AF36"/>
  <c r="M30"/>
  <c r="N30"/>
  <c r="S30"/>
  <c r="T30"/>
  <c r="Y30"/>
  <c r="Z30"/>
  <c r="AE30"/>
  <c r="AF30"/>
  <c r="M31"/>
  <c r="N31"/>
  <c r="S31"/>
  <c r="T31"/>
  <c r="Y31"/>
  <c r="Z31"/>
  <c r="AE31"/>
  <c r="AF31"/>
  <c r="M29"/>
  <c r="N29"/>
  <c r="S29"/>
  <c r="T29"/>
  <c r="Y29"/>
  <c r="Z29"/>
  <c r="AE29"/>
  <c r="AF29"/>
  <c r="Y33"/>
  <c r="M33"/>
  <c r="S33"/>
  <c r="AE33"/>
  <c r="Y32"/>
  <c r="M32"/>
  <c r="S32"/>
  <c r="AE32"/>
  <c r="AE75"/>
  <c r="T26" i="3"/>
  <c r="M75" i="5"/>
  <c r="H26" i="3"/>
  <c r="S75" i="5"/>
  <c r="L26" i="3" s="1"/>
  <c r="Y75" i="5"/>
  <c r="P26" i="3"/>
  <c r="AE83" i="5"/>
  <c r="T34" i="3"/>
  <c r="M83" i="5"/>
  <c r="H34" i="3"/>
  <c r="S83" i="5"/>
  <c r="L34" i="3" s="1"/>
  <c r="Y83" i="5"/>
  <c r="P34" i="3"/>
  <c r="AE67" i="5"/>
  <c r="T30" i="3"/>
  <c r="M67" i="5"/>
  <c r="H30" i="3"/>
  <c r="S67" i="5"/>
  <c r="L30" i="3" s="1"/>
  <c r="Y67" i="5"/>
  <c r="P30" i="3"/>
  <c r="AE59" i="5"/>
  <c r="T18" i="3"/>
  <c r="M59" i="5"/>
  <c r="H18" i="3"/>
  <c r="S59" i="5"/>
  <c r="L18" i="3" s="1"/>
  <c r="Y59" i="5"/>
  <c r="P18" i="3"/>
  <c r="AE64" i="5"/>
  <c r="T28" i="3"/>
  <c r="M64" i="5"/>
  <c r="H28" i="3"/>
  <c r="S64" i="5"/>
  <c r="L28" i="3" s="1"/>
  <c r="Y64" i="5"/>
  <c r="P28" i="3"/>
  <c r="AE66" i="5"/>
  <c r="T37" i="3"/>
  <c r="M66" i="5"/>
  <c r="H37" i="3"/>
  <c r="S66" i="5"/>
  <c r="L37" i="3" s="1"/>
  <c r="Y66" i="5"/>
  <c r="P37" i="3"/>
  <c r="AE79" i="5"/>
  <c r="T22" i="3"/>
  <c r="M79" i="5"/>
  <c r="H22" i="3"/>
  <c r="S79" i="5"/>
  <c r="L22" i="3" s="1"/>
  <c r="Y79" i="5"/>
  <c r="P22" i="3"/>
  <c r="AE86" i="5"/>
  <c r="T39" i="3"/>
  <c r="M86" i="5"/>
  <c r="H39" i="3"/>
  <c r="S86" i="5"/>
  <c r="L39" i="3" s="1"/>
  <c r="Y86" i="5"/>
  <c r="P39" i="3"/>
  <c r="M62" i="5"/>
  <c r="H24" i="3"/>
  <c r="J24" s="1"/>
  <c r="S62" i="5"/>
  <c r="L24" i="3" s="1"/>
  <c r="AE62" i="5"/>
  <c r="T24" i="3" s="1"/>
  <c r="M65" i="5"/>
  <c r="H19" i="3"/>
  <c r="S65" i="5"/>
  <c r="L19" i="3" s="1"/>
  <c r="Y65" i="5"/>
  <c r="P19" i="3"/>
  <c r="AE65" i="5"/>
  <c r="T19" i="3" s="1"/>
  <c r="M68" i="5"/>
  <c r="H20" i="3"/>
  <c r="J20" s="1"/>
  <c r="S68" i="5"/>
  <c r="L20" i="3" s="1"/>
  <c r="Y68" i="5"/>
  <c r="P20" i="3"/>
  <c r="AE68" i="5"/>
  <c r="T20" i="3" s="1"/>
  <c r="M72" i="5"/>
  <c r="H21" i="3"/>
  <c r="S72" i="5"/>
  <c r="L21" i="3" s="1"/>
  <c r="Y72" i="5"/>
  <c r="P21" i="3"/>
  <c r="AE72" i="5"/>
  <c r="T21" i="3" s="1"/>
  <c r="M81" i="5"/>
  <c r="H25" i="3"/>
  <c r="S81" i="5"/>
  <c r="L25" i="3" s="1"/>
  <c r="Y81" i="5"/>
  <c r="P25" i="3"/>
  <c r="AE81" i="5"/>
  <c r="T25" i="3" s="1"/>
  <c r="M80" i="5"/>
  <c r="H27" i="3"/>
  <c r="J27" s="1"/>
  <c r="S80" i="5"/>
  <c r="L27" i="3" s="1"/>
  <c r="Y80" i="5"/>
  <c r="P27" i="3"/>
  <c r="AE80" i="5"/>
  <c r="T27" i="3" s="1"/>
  <c r="M78" i="5"/>
  <c r="H29" i="3"/>
  <c r="J29" s="1"/>
  <c r="S78" i="5"/>
  <c r="L29" i="3" s="1"/>
  <c r="Y78" i="5"/>
  <c r="P29" i="3"/>
  <c r="AE78" i="5"/>
  <c r="T29" i="3" s="1"/>
  <c r="M77" i="5"/>
  <c r="H31" i="3"/>
  <c r="S77" i="5"/>
  <c r="L31" i="3" s="1"/>
  <c r="Y77" i="5"/>
  <c r="P31" i="3"/>
  <c r="AE77" i="5"/>
  <c r="T31" i="3" s="1"/>
  <c r="M69" i="5"/>
  <c r="H32" i="3"/>
  <c r="S69" i="5"/>
  <c r="L32" i="3" s="1"/>
  <c r="Y69" i="5"/>
  <c r="P32" i="3"/>
  <c r="AE69" i="5"/>
  <c r="T32" i="3" s="1"/>
  <c r="M61" i="5"/>
  <c r="H33" i="3"/>
  <c r="J33" s="1"/>
  <c r="S61" i="5"/>
  <c r="L33" i="3" s="1"/>
  <c r="Y61" i="5"/>
  <c r="P33" i="3"/>
  <c r="AE61" i="5"/>
  <c r="T33" i="3" s="1"/>
  <c r="M84" i="5"/>
  <c r="H35" i="3"/>
  <c r="J35" s="1"/>
  <c r="S84" i="5"/>
  <c r="L35" i="3" s="1"/>
  <c r="Y84" i="5"/>
  <c r="P35" i="3"/>
  <c r="AE84" i="5"/>
  <c r="T35" i="3" s="1"/>
  <c r="M71" i="5"/>
  <c r="H36" i="3"/>
  <c r="S71" i="5"/>
  <c r="L36" i="3" s="1"/>
  <c r="Y71" i="5"/>
  <c r="P36" i="3"/>
  <c r="AE71" i="5"/>
  <c r="T36" i="3" s="1"/>
  <c r="M70" i="5"/>
  <c r="H38" i="3"/>
  <c r="J38" s="1"/>
  <c r="N38" s="1"/>
  <c r="R38" s="1"/>
  <c r="S70" i="5"/>
  <c r="L38" i="3" s="1"/>
  <c r="Y70" i="5"/>
  <c r="P38" i="3"/>
  <c r="AE70" i="5"/>
  <c r="T38" i="3" s="1"/>
  <c r="G74" i="5"/>
  <c r="D41" i="3" s="1"/>
  <c r="F41"/>
  <c r="M74" i="5"/>
  <c r="H41" i="3"/>
  <c r="S74" i="5"/>
  <c r="L41" i="3" s="1"/>
  <c r="Y74" i="5"/>
  <c r="P41" i="3"/>
  <c r="AE74" i="5"/>
  <c r="T41" i="3" s="1"/>
  <c r="G60" i="5"/>
  <c r="D42" i="3" s="1"/>
  <c r="F42" s="1"/>
  <c r="M60" i="5"/>
  <c r="H42" i="3"/>
  <c r="S60" i="5"/>
  <c r="L42" i="3" s="1"/>
  <c r="AE60" i="5"/>
  <c r="P42" i="3"/>
  <c r="T42"/>
  <c r="G76" i="5"/>
  <c r="D43" i="3" s="1"/>
  <c r="F43" s="1"/>
  <c r="J43" s="1"/>
  <c r="M76" i="5"/>
  <c r="H43" i="3" s="1"/>
  <c r="S76" i="5"/>
  <c r="L43" i="3"/>
  <c r="AE76" i="5"/>
  <c r="P43" i="3" s="1"/>
  <c r="G85" i="5"/>
  <c r="D44" i="3" s="1"/>
  <c r="F44" s="1"/>
  <c r="M85" i="5"/>
  <c r="H44" i="3"/>
  <c r="S85" i="5"/>
  <c r="L44" i="3" s="1"/>
  <c r="Y85" i="5"/>
  <c r="P44" i="3"/>
  <c r="AE85" i="5"/>
  <c r="T44" i="3" s="1"/>
  <c r="G73" i="5"/>
  <c r="D45" i="3" s="1"/>
  <c r="F45"/>
  <c r="M73" i="5"/>
  <c r="H45" i="3"/>
  <c r="S73" i="5"/>
  <c r="L45" i="3" s="1"/>
  <c r="Y73" i="5"/>
  <c r="P45" i="3"/>
  <c r="AE73" i="5"/>
  <c r="T45" i="3" s="1"/>
  <c r="AE57" i="5"/>
  <c r="T11" i="3" s="1"/>
  <c r="AE47" i="5"/>
  <c r="AE48"/>
  <c r="AE49"/>
  <c r="AE50"/>
  <c r="AE51"/>
  <c r="T9" i="3"/>
  <c r="AE52" i="5"/>
  <c r="T12" i="3" s="1"/>
  <c r="M53" i="5"/>
  <c r="H14" i="3"/>
  <c r="J14" s="1"/>
  <c r="S53" i="5"/>
  <c r="L14" i="3" s="1"/>
  <c r="L15" s="1"/>
  <c r="Y53" i="5"/>
  <c r="P14" i="3"/>
  <c r="AE53" i="5"/>
  <c r="T14" i="3" s="1"/>
  <c r="M54" i="5"/>
  <c r="H48" i="3"/>
  <c r="J48" s="1"/>
  <c r="S54" i="5"/>
  <c r="L48" i="3" s="1"/>
  <c r="Y54" i="5"/>
  <c r="P48" i="3"/>
  <c r="AD54" i="5"/>
  <c r="AE54" s="1"/>
  <c r="T48" i="3" s="1"/>
  <c r="M87" i="5"/>
  <c r="H49" i="3" s="1"/>
  <c r="Y87" i="5"/>
  <c r="L49" i="3"/>
  <c r="P49"/>
  <c r="AE87" i="5"/>
  <c r="T49" i="3" s="1"/>
  <c r="AD22" i="5"/>
  <c r="AE22" s="1"/>
  <c r="C78" i="9"/>
  <c r="G45" i="5"/>
  <c r="H45" s="1"/>
  <c r="M45"/>
  <c r="S45"/>
  <c r="Y45"/>
  <c r="AE45"/>
  <c r="M22"/>
  <c r="N22" s="1"/>
  <c r="T22" s="1"/>
  <c r="Z22" s="1"/>
  <c r="AF22" s="1"/>
  <c r="S22"/>
  <c r="Y22"/>
  <c r="AE14"/>
  <c r="M14"/>
  <c r="N14" s="1"/>
  <c r="T14" s="1"/>
  <c r="Z14" s="1"/>
  <c r="AF14" s="1"/>
  <c r="S14"/>
  <c r="Y14"/>
  <c r="M18"/>
  <c r="N18"/>
  <c r="T18" s="1"/>
  <c r="Z18" s="1"/>
  <c r="AF18" s="1"/>
  <c r="Q18"/>
  <c r="S18"/>
  <c r="Y18"/>
  <c r="AE18"/>
  <c r="AE11"/>
  <c r="J11"/>
  <c r="M11"/>
  <c r="N11" s="1"/>
  <c r="P11"/>
  <c r="S11" s="1"/>
  <c r="Y11"/>
  <c r="AE10"/>
  <c r="AE8"/>
  <c r="AE42"/>
  <c r="M42"/>
  <c r="N42"/>
  <c r="T42" s="1"/>
  <c r="Z42" s="1"/>
  <c r="AF42" s="1"/>
  <c r="R42"/>
  <c r="S42"/>
  <c r="Y42"/>
  <c r="AE9"/>
  <c r="AE39"/>
  <c r="N39"/>
  <c r="S39"/>
  <c r="T39"/>
  <c r="Y39"/>
  <c r="Z39"/>
  <c r="AF39" s="1"/>
  <c r="AL39" s="1"/>
  <c r="AR39" s="1"/>
  <c r="AX39" s="1"/>
  <c r="BD39" s="1"/>
  <c r="BJ39" s="1"/>
  <c r="BP39" s="1"/>
  <c r="BV39" s="1"/>
  <c r="AQ39"/>
  <c r="AW39"/>
  <c r="BC39"/>
  <c r="BI39"/>
  <c r="BO39"/>
  <c r="BU39"/>
  <c r="AQ10"/>
  <c r="AW10"/>
  <c r="BC10"/>
  <c r="BI10"/>
  <c r="BO10"/>
  <c r="BU10"/>
  <c r="AK11"/>
  <c r="AQ11"/>
  <c r="B78" i="9"/>
  <c r="C79" s="1"/>
  <c r="X34" i="5"/>
  <c r="Y34" s="1"/>
  <c r="Y37"/>
  <c r="M37"/>
  <c r="N37" s="1"/>
  <c r="T37" s="1"/>
  <c r="Z37" s="1"/>
  <c r="S37"/>
  <c r="M34"/>
  <c r="N34" s="1"/>
  <c r="T34" s="1"/>
  <c r="Z34" s="1"/>
  <c r="S34"/>
  <c r="Y27"/>
  <c r="M27"/>
  <c r="N27" s="1"/>
  <c r="Q27"/>
  <c r="S27" s="1"/>
  <c r="M46"/>
  <c r="N46" s="1"/>
  <c r="T46" s="1"/>
  <c r="Z46" s="1"/>
  <c r="S46"/>
  <c r="Y46"/>
  <c r="G82"/>
  <c r="D40" i="3" s="1"/>
  <c r="F40" s="1"/>
  <c r="J40" s="1"/>
  <c r="M82" i="5"/>
  <c r="H40" i="3" s="1"/>
  <c r="H46" s="1"/>
  <c r="S82" i="5"/>
  <c r="L40" i="3"/>
  <c r="AE82" i="5"/>
  <c r="P40" i="3" s="1"/>
  <c r="Y13" i="5"/>
  <c r="Y24"/>
  <c r="Y40"/>
  <c r="Y7"/>
  <c r="Y41"/>
  <c r="Y6"/>
  <c r="Y88" s="1"/>
  <c r="Y15"/>
  <c r="Y16"/>
  <c r="Y17"/>
  <c r="Y19"/>
  <c r="Y20"/>
  <c r="Y21"/>
  <c r="Y23"/>
  <c r="Y25"/>
  <c r="Y26"/>
  <c r="Y43"/>
  <c r="Y44"/>
  <c r="Y55"/>
  <c r="Y58"/>
  <c r="Y60"/>
  <c r="Y76"/>
  <c r="Y82"/>
  <c r="N49"/>
  <c r="T49" s="1"/>
  <c r="Z49" s="1"/>
  <c r="Q40"/>
  <c r="R40"/>
  <c r="L40"/>
  <c r="E50" i="3"/>
  <c r="G46"/>
  <c r="G47"/>
  <c r="G50" s="1"/>
  <c r="I50"/>
  <c r="K46"/>
  <c r="K47"/>
  <c r="K50" s="1"/>
  <c r="M50"/>
  <c r="N59" i="5"/>
  <c r="T59" s="1"/>
  <c r="H52"/>
  <c r="N52" s="1"/>
  <c r="T52" s="1"/>
  <c r="H53"/>
  <c r="N53"/>
  <c r="T53" s="1"/>
  <c r="N48"/>
  <c r="T48" s="1"/>
  <c r="H75"/>
  <c r="N75" s="1"/>
  <c r="T75" s="1"/>
  <c r="N64"/>
  <c r="T64"/>
  <c r="H79"/>
  <c r="N79"/>
  <c r="T79" s="1"/>
  <c r="N50"/>
  <c r="T50" s="1"/>
  <c r="N51"/>
  <c r="T51" s="1"/>
  <c r="N54"/>
  <c r="T54" s="1"/>
  <c r="G55"/>
  <c r="H55" s="1"/>
  <c r="N55" s="1"/>
  <c r="T55" s="1"/>
  <c r="M55"/>
  <c r="S55"/>
  <c r="G58"/>
  <c r="H58" s="1"/>
  <c r="N58" s="1"/>
  <c r="T58" s="1"/>
  <c r="M58"/>
  <c r="S58"/>
  <c r="H60"/>
  <c r="N60" s="1"/>
  <c r="T60" s="1"/>
  <c r="N61"/>
  <c r="T61"/>
  <c r="N62"/>
  <c r="T62"/>
  <c r="H65"/>
  <c r="N65"/>
  <c r="T65" s="1"/>
  <c r="N66"/>
  <c r="T66" s="1"/>
  <c r="H67"/>
  <c r="N67" s="1"/>
  <c r="T67" s="1"/>
  <c r="N68"/>
  <c r="T68"/>
  <c r="N69"/>
  <c r="T69"/>
  <c r="N70"/>
  <c r="T70"/>
  <c r="H71"/>
  <c r="N71"/>
  <c r="T71" s="1"/>
  <c r="N72"/>
  <c r="T72" s="1"/>
  <c r="H73"/>
  <c r="N73" s="1"/>
  <c r="T73" s="1"/>
  <c r="H74"/>
  <c r="N74"/>
  <c r="T74" s="1"/>
  <c r="H76"/>
  <c r="N76" s="1"/>
  <c r="T76" s="1"/>
  <c r="H78"/>
  <c r="N78"/>
  <c r="T78" s="1"/>
  <c r="N80"/>
  <c r="T80" s="1"/>
  <c r="H81"/>
  <c r="N81" s="1"/>
  <c r="T81" s="1"/>
  <c r="H82"/>
  <c r="N82"/>
  <c r="T82" s="1"/>
  <c r="H83"/>
  <c r="N83" s="1"/>
  <c r="T83"/>
  <c r="H84"/>
  <c r="N84"/>
  <c r="T84" s="1"/>
  <c r="H85"/>
  <c r="N85" s="1"/>
  <c r="T85"/>
  <c r="H86"/>
  <c r="N86"/>
  <c r="T86" s="1"/>
  <c r="H87"/>
  <c r="N87" s="1"/>
  <c r="S87"/>
  <c r="M15"/>
  <c r="N15"/>
  <c r="S15"/>
  <c r="T15"/>
  <c r="M16"/>
  <c r="N16"/>
  <c r="S16"/>
  <c r="T16"/>
  <c r="M40"/>
  <c r="N40"/>
  <c r="S40"/>
  <c r="T40"/>
  <c r="M7"/>
  <c r="N7"/>
  <c r="S7"/>
  <c r="T7"/>
  <c r="G13"/>
  <c r="H13" s="1"/>
  <c r="M13"/>
  <c r="N13" s="1"/>
  <c r="S13"/>
  <c r="M17"/>
  <c r="N17" s="1"/>
  <c r="S17"/>
  <c r="M19"/>
  <c r="N19" s="1"/>
  <c r="S19"/>
  <c r="M20"/>
  <c r="N20" s="1"/>
  <c r="S20"/>
  <c r="M21"/>
  <c r="N21" s="1"/>
  <c r="S21"/>
  <c r="M23"/>
  <c r="N23" s="1"/>
  <c r="S23"/>
  <c r="M24"/>
  <c r="N24" s="1"/>
  <c r="S24"/>
  <c r="T24" s="1"/>
  <c r="Z24" s="1"/>
  <c r="AF24" s="1"/>
  <c r="AL24" s="1"/>
  <c r="AR24" s="1"/>
  <c r="G26"/>
  <c r="H26" s="1"/>
  <c r="N26" s="1"/>
  <c r="T26" s="1"/>
  <c r="Z26" s="1"/>
  <c r="AF26" s="1"/>
  <c r="AL26" s="1"/>
  <c r="AR26" s="1"/>
  <c r="M26"/>
  <c r="S26"/>
  <c r="M41"/>
  <c r="N41" s="1"/>
  <c r="T41" s="1"/>
  <c r="Z41" s="1"/>
  <c r="AF41" s="1"/>
  <c r="AL41" s="1"/>
  <c r="AR41" s="1"/>
  <c r="S41"/>
  <c r="G43"/>
  <c r="H43" s="1"/>
  <c r="N43" s="1"/>
  <c r="T43" s="1"/>
  <c r="Z43" s="1"/>
  <c r="AF43" s="1"/>
  <c r="AL43" s="1"/>
  <c r="AR43" s="1"/>
  <c r="M43"/>
  <c r="S43"/>
  <c r="G44"/>
  <c r="H44" s="1"/>
  <c r="N44" s="1"/>
  <c r="T44" s="1"/>
  <c r="Z44" s="1"/>
  <c r="AF44" s="1"/>
  <c r="AL44" s="1"/>
  <c r="AR44" s="1"/>
  <c r="M44"/>
  <c r="S44"/>
  <c r="M6"/>
  <c r="N6" s="1"/>
  <c r="S6"/>
  <c r="L16" i="3"/>
  <c r="L88" i="5"/>
  <c r="G17" i="4"/>
  <c r="F88" i="5"/>
  <c r="E11" i="4"/>
  <c r="AK47" i="5"/>
  <c r="O11" i="4" s="1"/>
  <c r="AQ47" i="5"/>
  <c r="Q11" i="4" s="1"/>
  <c r="AW47" i="5"/>
  <c r="S11" i="4" s="1"/>
  <c r="BC47" i="5"/>
  <c r="U11" i="4" s="1"/>
  <c r="BI47" i="5"/>
  <c r="W11" i="4" s="1"/>
  <c r="BO47" i="5"/>
  <c r="Y11" i="4" s="1"/>
  <c r="BU47" i="5"/>
  <c r="AA11" i="4" s="1"/>
  <c r="AW9" i="3"/>
  <c r="AW15" s="1"/>
  <c r="AW11"/>
  <c r="AW12"/>
  <c r="AK59" i="5"/>
  <c r="AQ59"/>
  <c r="X18" i="3"/>
  <c r="AW59" i="5"/>
  <c r="AB18" i="3" s="1"/>
  <c r="BC59" i="5"/>
  <c r="AF18" i="3"/>
  <c r="BI59" i="5"/>
  <c r="AJ18" i="3" s="1"/>
  <c r="BO59" i="5"/>
  <c r="AN18" i="3"/>
  <c r="BU59" i="5"/>
  <c r="AR18" i="3" s="1"/>
  <c r="AW14"/>
  <c r="AW48"/>
  <c r="AW49"/>
  <c r="AW59"/>
  <c r="AW58"/>
  <c r="AW57"/>
  <c r="AW56"/>
  <c r="AW55"/>
  <c r="AW54"/>
  <c r="AW53"/>
  <c r="AW52"/>
  <c r="AW51"/>
  <c r="X45"/>
  <c r="AK73" i="5"/>
  <c r="AB45" i="3"/>
  <c r="AF45"/>
  <c r="AJ45"/>
  <c r="AW73" i="5"/>
  <c r="AN45" i="3" s="1"/>
  <c r="AR45"/>
  <c r="X44"/>
  <c r="AK85" i="5"/>
  <c r="AB44" i="3"/>
  <c r="BC85" i="5"/>
  <c r="AF44" i="3" s="1"/>
  <c r="BI85" i="5"/>
  <c r="AJ44" i="3"/>
  <c r="BO85" i="5"/>
  <c r="AN44" i="3" s="1"/>
  <c r="BU85" i="5"/>
  <c r="AR44" i="3"/>
  <c r="AW43"/>
  <c r="X42"/>
  <c r="AK60" i="5"/>
  <c r="AB42" i="3"/>
  <c r="AF42"/>
  <c r="AJ42"/>
  <c r="AW60" i="5"/>
  <c r="AN42" i="3" s="1"/>
  <c r="AR42"/>
  <c r="X41"/>
  <c r="AK74" i="5"/>
  <c r="AB41" i="3"/>
  <c r="AF41"/>
  <c r="AJ41"/>
  <c r="AW74" i="5"/>
  <c r="AN41" i="3" s="1"/>
  <c r="AR41"/>
  <c r="AW39"/>
  <c r="AW38"/>
  <c r="AK66" i="5"/>
  <c r="AQ66"/>
  <c r="X37" i="3" s="1"/>
  <c r="AW66" i="5"/>
  <c r="AB37" i="3"/>
  <c r="BC66" i="5"/>
  <c r="AF37" i="3" s="1"/>
  <c r="BI66" i="5"/>
  <c r="AJ37" i="3"/>
  <c r="BO66" i="5"/>
  <c r="AN37" i="3" s="1"/>
  <c r="BU66" i="5"/>
  <c r="AR37" i="3"/>
  <c r="AW36"/>
  <c r="AK84" i="5"/>
  <c r="AQ84"/>
  <c r="X35" i="3" s="1"/>
  <c r="AW84" i="5"/>
  <c r="AB35" i="3"/>
  <c r="BC84" i="5"/>
  <c r="AF35" i="3" s="1"/>
  <c r="BI84" i="5"/>
  <c r="AJ35" i="3"/>
  <c r="BO84" i="5"/>
  <c r="AN35" i="3" s="1"/>
  <c r="BU84" i="5"/>
  <c r="AR35" i="3"/>
  <c r="AW34"/>
  <c r="AW33"/>
  <c r="AW32"/>
  <c r="AK77" i="5"/>
  <c r="AQ77"/>
  <c r="X31" i="3" s="1"/>
  <c r="AW77" i="5"/>
  <c r="AB31" i="3"/>
  <c r="BC77" i="5"/>
  <c r="AF31" i="3" s="1"/>
  <c r="BI77" i="5"/>
  <c r="AJ31" i="3"/>
  <c r="BO77" i="5"/>
  <c r="AN31" i="3" s="1"/>
  <c r="BU77" i="5"/>
  <c r="AR31" i="3"/>
  <c r="AW30"/>
  <c r="AK78" i="5"/>
  <c r="AQ78"/>
  <c r="X29" i="3" s="1"/>
  <c r="AW78" i="5"/>
  <c r="AB29" i="3"/>
  <c r="BC78" i="5"/>
  <c r="AF29" i="3" s="1"/>
  <c r="BI78" i="5"/>
  <c r="AJ29" i="3"/>
  <c r="BO78" i="5"/>
  <c r="AN29" i="3" s="1"/>
  <c r="BU78" i="5"/>
  <c r="AR29" i="3"/>
  <c r="AK64" i="5"/>
  <c r="AQ64"/>
  <c r="X28" i="3"/>
  <c r="AW64" i="5"/>
  <c r="AB28" i="3" s="1"/>
  <c r="BC64" i="5"/>
  <c r="AF28" i="3"/>
  <c r="BI64" i="5"/>
  <c r="AJ28" i="3" s="1"/>
  <c r="BO64" i="5"/>
  <c r="AN28" i="3"/>
  <c r="BU64" i="5"/>
  <c r="AR28" i="3" s="1"/>
  <c r="AK80" i="5"/>
  <c r="AQ80"/>
  <c r="X27" i="3" s="1"/>
  <c r="AW80" i="5"/>
  <c r="AB27" i="3"/>
  <c r="BC80" i="5"/>
  <c r="AF27" i="3" s="1"/>
  <c r="BI80" i="5"/>
  <c r="AJ27" i="3"/>
  <c r="BO80" i="5"/>
  <c r="AN27" i="3" s="1"/>
  <c r="BU80" i="5"/>
  <c r="AR27" i="3"/>
  <c r="AK75" i="5"/>
  <c r="AQ75"/>
  <c r="X26" i="3"/>
  <c r="AW75" i="5"/>
  <c r="AB26" i="3" s="1"/>
  <c r="BC75" i="5"/>
  <c r="AF26" i="3"/>
  <c r="BI75" i="5"/>
  <c r="AJ26" i="3" s="1"/>
  <c r="BO75" i="5"/>
  <c r="AN26" i="3"/>
  <c r="BU75" i="5"/>
  <c r="AR26" i="3" s="1"/>
  <c r="AK81" i="5"/>
  <c r="AQ81"/>
  <c r="X25" i="3" s="1"/>
  <c r="AW81" i="5"/>
  <c r="AB25" i="3"/>
  <c r="BC81" i="5"/>
  <c r="AF25" i="3" s="1"/>
  <c r="BI81" i="5"/>
  <c r="AJ25" i="3"/>
  <c r="BO81" i="5"/>
  <c r="AN25" i="3" s="1"/>
  <c r="BU81" i="5"/>
  <c r="AR25" i="3"/>
  <c r="AW24"/>
  <c r="AK79" i="5"/>
  <c r="AQ79"/>
  <c r="X22" i="3" s="1"/>
  <c r="AW79" i="5"/>
  <c r="AB22" i="3"/>
  <c r="BC79" i="5"/>
  <c r="AF22" i="3" s="1"/>
  <c r="BI79" i="5"/>
  <c r="AJ22" i="3"/>
  <c r="BO79" i="5"/>
  <c r="AN22" i="3" s="1"/>
  <c r="BU79" i="5"/>
  <c r="AR22" i="3"/>
  <c r="AW21"/>
  <c r="AW20"/>
  <c r="AK65" i="5"/>
  <c r="AQ65"/>
  <c r="X19" i="3"/>
  <c r="AW65" i="5"/>
  <c r="AB19" i="3" s="1"/>
  <c r="BC65" i="5"/>
  <c r="AF19" i="3"/>
  <c r="BI65" i="5"/>
  <c r="AJ19" i="3" s="1"/>
  <c r="BO65" i="5"/>
  <c r="AN19" i="3"/>
  <c r="BU65" i="5"/>
  <c r="AR19" i="3" s="1"/>
  <c r="AK48" i="5"/>
  <c r="AK49"/>
  <c r="AK50"/>
  <c r="AK51"/>
  <c r="AQ48"/>
  <c r="AQ49"/>
  <c r="X9" i="3" s="1"/>
  <c r="AQ50" i="5"/>
  <c r="AQ51"/>
  <c r="AW48"/>
  <c r="AW49"/>
  <c r="AB9" i="3" s="1"/>
  <c r="AW50" i="5"/>
  <c r="AW51"/>
  <c r="BC48"/>
  <c r="BC49"/>
  <c r="AF9" i="3" s="1"/>
  <c r="BC50" i="5"/>
  <c r="BC51"/>
  <c r="BI48"/>
  <c r="BI49"/>
  <c r="AJ9" i="3" s="1"/>
  <c r="BI50" i="5"/>
  <c r="BI51"/>
  <c r="BO48"/>
  <c r="BO49"/>
  <c r="AN9" i="3" s="1"/>
  <c r="BO50" i="5"/>
  <c r="BO51"/>
  <c r="BU48"/>
  <c r="BU49"/>
  <c r="AR9" i="3" s="1"/>
  <c r="BU50" i="5"/>
  <c r="BU51"/>
  <c r="AK56"/>
  <c r="AK57"/>
  <c r="AQ56"/>
  <c r="AQ57"/>
  <c r="X11" i="3"/>
  <c r="AW56" i="5"/>
  <c r="AW57"/>
  <c r="AB11" i="3"/>
  <c r="BC56" i="5"/>
  <c r="BC57"/>
  <c r="AF11" i="3"/>
  <c r="BI56" i="5"/>
  <c r="BI57"/>
  <c r="AJ11" i="3"/>
  <c r="BO56" i="5"/>
  <c r="BO57"/>
  <c r="AN11" i="3"/>
  <c r="BU56" i="5"/>
  <c r="BU57"/>
  <c r="AR11" i="3"/>
  <c r="AK52" i="5"/>
  <c r="AQ52"/>
  <c r="X12" i="3" s="1"/>
  <c r="AW52" i="5"/>
  <c r="AB12" i="3"/>
  <c r="BC52" i="5"/>
  <c r="AF12" i="3" s="1"/>
  <c r="BI52" i="5"/>
  <c r="AJ12" i="3"/>
  <c r="BO52" i="5"/>
  <c r="AN12" i="3" s="1"/>
  <c r="BU52" i="5"/>
  <c r="AR12" i="3"/>
  <c r="AK68" i="5"/>
  <c r="AQ68"/>
  <c r="X20" i="3"/>
  <c r="AW68" i="5"/>
  <c r="AB20" i="3" s="1"/>
  <c r="BC68" i="5"/>
  <c r="AF20" i="3"/>
  <c r="BI68" i="5"/>
  <c r="AJ20" i="3" s="1"/>
  <c r="BO68" i="5"/>
  <c r="AN20" i="3"/>
  <c r="BU68" i="5"/>
  <c r="AR20" i="3" s="1"/>
  <c r="AK72" i="5"/>
  <c r="AQ72"/>
  <c r="X21" i="3"/>
  <c r="AW72" i="5"/>
  <c r="AB21" i="3" s="1"/>
  <c r="BC72" i="5"/>
  <c r="AF21" i="3"/>
  <c r="BI72" i="5"/>
  <c r="AJ21" i="3" s="1"/>
  <c r="BO72" i="5"/>
  <c r="AN21" i="3"/>
  <c r="BU72" i="5"/>
  <c r="AR21" i="3" s="1"/>
  <c r="X24"/>
  <c r="AK62" i="5"/>
  <c r="AB24" i="3"/>
  <c r="AF24"/>
  <c r="AJ24"/>
  <c r="AW62" i="5"/>
  <c r="AN24" i="3" s="1"/>
  <c r="BU62" i="5"/>
  <c r="AR24" i="3"/>
  <c r="AK67" i="5"/>
  <c r="AQ67"/>
  <c r="X30" i="3"/>
  <c r="AW67" i="5"/>
  <c r="AB30" i="3" s="1"/>
  <c r="BC67" i="5"/>
  <c r="AF30" i="3"/>
  <c r="BI67" i="5"/>
  <c r="AJ30" i="3" s="1"/>
  <c r="BO67" i="5"/>
  <c r="AN30" i="3"/>
  <c r="BU67" i="5"/>
  <c r="AR30" i="3" s="1"/>
  <c r="AK69" i="5"/>
  <c r="AQ69"/>
  <c r="X32" i="3" s="1"/>
  <c r="AW69" i="5"/>
  <c r="AB32" i="3"/>
  <c r="BC69" i="5"/>
  <c r="AF32" i="3" s="1"/>
  <c r="BI69" i="5"/>
  <c r="AJ32" i="3"/>
  <c r="BO69" i="5"/>
  <c r="AN32" i="3" s="1"/>
  <c r="BU69" i="5"/>
  <c r="AR32" i="3"/>
  <c r="AK61" i="5"/>
  <c r="AQ61"/>
  <c r="X33" i="3" s="1"/>
  <c r="AW61" i="5"/>
  <c r="AB33" i="3"/>
  <c r="BC61" i="5"/>
  <c r="AF33" i="3" s="1"/>
  <c r="BI61" i="5"/>
  <c r="AJ33" i="3"/>
  <c r="BO61" i="5"/>
  <c r="AN33" i="3" s="1"/>
  <c r="BU61" i="5"/>
  <c r="AR33" i="3"/>
  <c r="AK83" i="5"/>
  <c r="AQ83"/>
  <c r="X34" i="3" s="1"/>
  <c r="AW83" i="5"/>
  <c r="AB34" i="3"/>
  <c r="BC83" i="5"/>
  <c r="AF34" i="3" s="1"/>
  <c r="BI83" i="5"/>
  <c r="AJ34" i="3"/>
  <c r="BO83" i="5"/>
  <c r="AN34" i="3" s="1"/>
  <c r="BU83" i="5"/>
  <c r="AR34" i="3"/>
  <c r="AK71" i="5"/>
  <c r="AQ71"/>
  <c r="X36" i="3"/>
  <c r="AW71" i="5"/>
  <c r="AB36" i="3" s="1"/>
  <c r="BC71" i="5"/>
  <c r="AF36" i="3"/>
  <c r="BI71" i="5"/>
  <c r="AJ36" i="3" s="1"/>
  <c r="BO71" i="5"/>
  <c r="AN36" i="3"/>
  <c r="BU71" i="5"/>
  <c r="AR36" i="3" s="1"/>
  <c r="AK70" i="5"/>
  <c r="AQ70"/>
  <c r="X38" i="3" s="1"/>
  <c r="AW70" i="5"/>
  <c r="AB38" i="3"/>
  <c r="BC70" i="5"/>
  <c r="AF38" i="3" s="1"/>
  <c r="BI70" i="5"/>
  <c r="AJ38" i="3"/>
  <c r="BO70" i="5"/>
  <c r="AN38" i="3" s="1"/>
  <c r="BU70" i="5"/>
  <c r="AR38" i="3"/>
  <c r="AK86" i="5"/>
  <c r="AQ86"/>
  <c r="X39" i="3" s="1"/>
  <c r="AW86" i="5"/>
  <c r="AB39" i="3"/>
  <c r="BC86" i="5"/>
  <c r="AF39" i="3" s="1"/>
  <c r="BI86" i="5"/>
  <c r="AJ39" i="3"/>
  <c r="BO86" i="5"/>
  <c r="AN39" i="3" s="1"/>
  <c r="BU86" i="5"/>
  <c r="AR39" i="3"/>
  <c r="X43"/>
  <c r="AK76" i="5"/>
  <c r="AB43" i="3"/>
  <c r="AF43"/>
  <c r="AJ43"/>
  <c r="AW76" i="5"/>
  <c r="AN43" i="3" s="1"/>
  <c r="AR43"/>
  <c r="AK53" i="5"/>
  <c r="AQ53"/>
  <c r="X14" i="3"/>
  <c r="AW53" i="5"/>
  <c r="AB14" i="3" s="1"/>
  <c r="BC53" i="5"/>
  <c r="AF14" i="3"/>
  <c r="BI53" i="5"/>
  <c r="AJ14" i="3" s="1"/>
  <c r="BO53" i="5"/>
  <c r="AN14" i="3"/>
  <c r="BU53" i="5"/>
  <c r="AR14" i="3" s="1"/>
  <c r="AK54" i="5"/>
  <c r="AQ54"/>
  <c r="X48" i="3"/>
  <c r="AW54" i="5"/>
  <c r="AB48" i="3" s="1"/>
  <c r="BC54" i="5"/>
  <c r="AF48" i="3"/>
  <c r="BI54" i="5"/>
  <c r="AJ48" i="3" s="1"/>
  <c r="BO54" i="5"/>
  <c r="AN48" i="3"/>
  <c r="BU54" i="5"/>
  <c r="AR48" i="3" s="1"/>
  <c r="X49"/>
  <c r="AK87" i="5"/>
  <c r="AB49" i="3" s="1"/>
  <c r="BC87" i="5"/>
  <c r="AF49" i="3"/>
  <c r="BI87" i="5"/>
  <c r="AJ49" i="3" s="1"/>
  <c r="BO87" i="5"/>
  <c r="AN49" i="3"/>
  <c r="BU87" i="5"/>
  <c r="AR49" i="3" s="1"/>
  <c r="AT59"/>
  <c r="AV59" s="1"/>
  <c r="AT58"/>
  <c r="AV58" s="1"/>
  <c r="D55"/>
  <c r="V55"/>
  <c r="AB55"/>
  <c r="AF55"/>
  <c r="AN55"/>
  <c r="AR55"/>
  <c r="AJ55"/>
  <c r="X55"/>
  <c r="AT56"/>
  <c r="AV56" s="1"/>
  <c r="AT54"/>
  <c r="AV54" s="1"/>
  <c r="AT52"/>
  <c r="AV52"/>
  <c r="AK8" i="5"/>
  <c r="AQ8"/>
  <c r="AK9"/>
  <c r="AQ9"/>
  <c r="AE13"/>
  <c r="AK13"/>
  <c r="AQ13"/>
  <c r="AK14"/>
  <c r="AL14"/>
  <c r="AQ14"/>
  <c r="AR14"/>
  <c r="Z15"/>
  <c r="AE15"/>
  <c r="AF15" s="1"/>
  <c r="AL15" s="1"/>
  <c r="AR15" s="1"/>
  <c r="AX15" s="1"/>
  <c r="BD15" s="1"/>
  <c r="BJ15" s="1"/>
  <c r="BP15" s="1"/>
  <c r="AK15"/>
  <c r="AQ15"/>
  <c r="Z16"/>
  <c r="AE16"/>
  <c r="AF16"/>
  <c r="AK16"/>
  <c r="AL16"/>
  <c r="AQ16"/>
  <c r="AR16"/>
  <c r="AE17"/>
  <c r="AK17"/>
  <c r="AQ17"/>
  <c r="AK18"/>
  <c r="AL18" s="1"/>
  <c r="AR18" s="1"/>
  <c r="AX18" s="1"/>
  <c r="BD18" s="1"/>
  <c r="BJ18" s="1"/>
  <c r="BP18" s="1"/>
  <c r="AQ18"/>
  <c r="AE19"/>
  <c r="AK19"/>
  <c r="AQ19"/>
  <c r="AE20"/>
  <c r="AK20"/>
  <c r="AQ20"/>
  <c r="AE21"/>
  <c r="AK21"/>
  <c r="AQ21"/>
  <c r="AK22"/>
  <c r="AL22"/>
  <c r="AQ22"/>
  <c r="AR22"/>
  <c r="AE23"/>
  <c r="AK23"/>
  <c r="AQ23"/>
  <c r="AE24"/>
  <c r="AK24"/>
  <c r="AQ24"/>
  <c r="Z25"/>
  <c r="AE25"/>
  <c r="AF25" s="1"/>
  <c r="AL25" s="1"/>
  <c r="AR25" s="1"/>
  <c r="AK25"/>
  <c r="AQ25"/>
  <c r="AE26"/>
  <c r="AK26"/>
  <c r="AQ26"/>
  <c r="AE27"/>
  <c r="AK27"/>
  <c r="AQ27"/>
  <c r="AK28"/>
  <c r="AQ28"/>
  <c r="AK29"/>
  <c r="AL29"/>
  <c r="AQ29"/>
  <c r="AR29"/>
  <c r="AK30"/>
  <c r="AL30"/>
  <c r="AQ30"/>
  <c r="AR30"/>
  <c r="AK31"/>
  <c r="AL31"/>
  <c r="AQ31"/>
  <c r="AR31"/>
  <c r="AK32"/>
  <c r="AQ32"/>
  <c r="AK33"/>
  <c r="AQ33"/>
  <c r="AE34"/>
  <c r="AF34"/>
  <c r="AK34"/>
  <c r="AL34"/>
  <c r="AQ34"/>
  <c r="AR34"/>
  <c r="AK36"/>
  <c r="AL36"/>
  <c r="AQ36"/>
  <c r="AR36"/>
  <c r="AE37"/>
  <c r="AF37"/>
  <c r="AK37"/>
  <c r="AL37"/>
  <c r="AQ37"/>
  <c r="AR37"/>
  <c r="Z40"/>
  <c r="AE40"/>
  <c r="AF40" s="1"/>
  <c r="AL40" s="1"/>
  <c r="AR40" s="1"/>
  <c r="AK40"/>
  <c r="AQ40"/>
  <c r="AE41"/>
  <c r="AK41"/>
  <c r="AQ41"/>
  <c r="AK42"/>
  <c r="AL42"/>
  <c r="AQ42"/>
  <c r="AR42"/>
  <c r="AE43"/>
  <c r="AK43"/>
  <c r="AQ43"/>
  <c r="AE44"/>
  <c r="AK44"/>
  <c r="AQ44"/>
  <c r="AK45"/>
  <c r="AQ45"/>
  <c r="AE46"/>
  <c r="AF46"/>
  <c r="AK46"/>
  <c r="AL46"/>
  <c r="AQ46"/>
  <c r="AR46"/>
  <c r="Z48"/>
  <c r="AF48"/>
  <c r="AL48" s="1"/>
  <c r="AR48" s="1"/>
  <c r="AF49"/>
  <c r="AL49"/>
  <c r="AR49" s="1"/>
  <c r="Z50"/>
  <c r="AF50" s="1"/>
  <c r="AL50" s="1"/>
  <c r="AR50" s="1"/>
  <c r="Z51"/>
  <c r="AF51" s="1"/>
  <c r="AL51" s="1"/>
  <c r="AR51" s="1"/>
  <c r="Z52"/>
  <c r="AF52" s="1"/>
  <c r="AL52" s="1"/>
  <c r="AR52" s="1"/>
  <c r="Z53"/>
  <c r="AF53" s="1"/>
  <c r="AL53" s="1"/>
  <c r="AR53" s="1"/>
  <c r="Z54"/>
  <c r="AF54" s="1"/>
  <c r="AL54" s="1"/>
  <c r="AR54" s="1"/>
  <c r="Z55"/>
  <c r="AE55"/>
  <c r="AF55"/>
  <c r="AK55"/>
  <c r="AL55"/>
  <c r="AQ55"/>
  <c r="AR55"/>
  <c r="AL56"/>
  <c r="AR56"/>
  <c r="Z58"/>
  <c r="AE58"/>
  <c r="AF58" s="1"/>
  <c r="AL58" s="1"/>
  <c r="AR58" s="1"/>
  <c r="AK58"/>
  <c r="AQ58"/>
  <c r="Z59"/>
  <c r="AF59" s="1"/>
  <c r="AL59" s="1"/>
  <c r="AR59" s="1"/>
  <c r="Z60"/>
  <c r="AF60" s="1"/>
  <c r="AL60" s="1"/>
  <c r="AR60" s="1"/>
  <c r="AQ60"/>
  <c r="Z61"/>
  <c r="AF61"/>
  <c r="AL61" s="1"/>
  <c r="AR61" s="1"/>
  <c r="Z62"/>
  <c r="AF62"/>
  <c r="AL62" s="1"/>
  <c r="AR62" s="1"/>
  <c r="AQ62"/>
  <c r="Z64"/>
  <c r="AF64" s="1"/>
  <c r="AL64" s="1"/>
  <c r="AR64" s="1"/>
  <c r="Z65"/>
  <c r="AF65" s="1"/>
  <c r="AL65" s="1"/>
  <c r="AR65" s="1"/>
  <c r="Z66"/>
  <c r="AF66" s="1"/>
  <c r="AL66" s="1"/>
  <c r="AR66" s="1"/>
  <c r="Z67"/>
  <c r="AF67" s="1"/>
  <c r="AL67" s="1"/>
  <c r="AR67" s="1"/>
  <c r="Z68"/>
  <c r="AF68" s="1"/>
  <c r="AL68" s="1"/>
  <c r="AR68" s="1"/>
  <c r="Z69"/>
  <c r="AF69" s="1"/>
  <c r="AL69" s="1"/>
  <c r="AR69" s="1"/>
  <c r="Z70"/>
  <c r="AF70" s="1"/>
  <c r="AL70" s="1"/>
  <c r="AR70" s="1"/>
  <c r="Z71"/>
  <c r="AF71" s="1"/>
  <c r="AL71" s="1"/>
  <c r="AR71" s="1"/>
  <c r="Z72"/>
  <c r="AF72" s="1"/>
  <c r="AL72" s="1"/>
  <c r="AR72" s="1"/>
  <c r="Z73"/>
  <c r="AF73" s="1"/>
  <c r="AL73" s="1"/>
  <c r="AR73" s="1"/>
  <c r="AQ73"/>
  <c r="Z74"/>
  <c r="AF74"/>
  <c r="AL74" s="1"/>
  <c r="AR74" s="1"/>
  <c r="AQ74"/>
  <c r="Z75"/>
  <c r="AF75" s="1"/>
  <c r="AL75" s="1"/>
  <c r="AR75" s="1"/>
  <c r="Z76"/>
  <c r="AF76" s="1"/>
  <c r="AL76" s="1"/>
  <c r="AR76" s="1"/>
  <c r="AQ76"/>
  <c r="Z78"/>
  <c r="AF78"/>
  <c r="AL78" s="1"/>
  <c r="AR78" s="1"/>
  <c r="Z79"/>
  <c r="AF79"/>
  <c r="AL79" s="1"/>
  <c r="AR79" s="1"/>
  <c r="Z80"/>
  <c r="AF80"/>
  <c r="AL80" s="1"/>
  <c r="AR80" s="1"/>
  <c r="Z81"/>
  <c r="AF81"/>
  <c r="AL81" s="1"/>
  <c r="AR81" s="1"/>
  <c r="Z82"/>
  <c r="AF82"/>
  <c r="AK82"/>
  <c r="AL82"/>
  <c r="AQ82"/>
  <c r="AR82"/>
  <c r="Z83"/>
  <c r="AF83"/>
  <c r="AL83" s="1"/>
  <c r="AR83" s="1"/>
  <c r="Z84"/>
  <c r="AF84"/>
  <c r="AL84" s="1"/>
  <c r="AR84" s="1"/>
  <c r="Z85"/>
  <c r="AF85"/>
  <c r="AL85" s="1"/>
  <c r="AR85" s="1"/>
  <c r="AQ85"/>
  <c r="Z86"/>
  <c r="AF86" s="1"/>
  <c r="AL86" s="1"/>
  <c r="AR86" s="1"/>
  <c r="AQ87"/>
  <c r="Z7"/>
  <c r="AE7"/>
  <c r="AF7" s="1"/>
  <c r="AL7" s="1"/>
  <c r="AR7" s="1"/>
  <c r="AX7" s="1"/>
  <c r="BD7" s="1"/>
  <c r="BJ7" s="1"/>
  <c r="BP7" s="1"/>
  <c r="AK7"/>
  <c r="AQ7"/>
  <c r="M89"/>
  <c r="M88"/>
  <c r="E12" i="4"/>
  <c r="AW87" i="5"/>
  <c r="AW7"/>
  <c r="BC7"/>
  <c r="BI7"/>
  <c r="BO7"/>
  <c r="AW8"/>
  <c r="BC8"/>
  <c r="BI8"/>
  <c r="BO8"/>
  <c r="AW9"/>
  <c r="BC9"/>
  <c r="BI9"/>
  <c r="BO9"/>
  <c r="AW11"/>
  <c r="BC11"/>
  <c r="BI11"/>
  <c r="BO11"/>
  <c r="AW13"/>
  <c r="BC13"/>
  <c r="BI13"/>
  <c r="BO13"/>
  <c r="AW14"/>
  <c r="AX14" s="1"/>
  <c r="BD14" s="1"/>
  <c r="BJ14" s="1"/>
  <c r="BP14" s="1"/>
  <c r="BC14"/>
  <c r="BI14"/>
  <c r="BO14"/>
  <c r="AW15"/>
  <c r="BC15"/>
  <c r="BI15"/>
  <c r="BO15"/>
  <c r="AW16"/>
  <c r="AX16" s="1"/>
  <c r="BD16" s="1"/>
  <c r="BJ16" s="1"/>
  <c r="BP16" s="1"/>
  <c r="BC16"/>
  <c r="BI16"/>
  <c r="BO16"/>
  <c r="AW17"/>
  <c r="BC17"/>
  <c r="BI17"/>
  <c r="BO17"/>
  <c r="AW18"/>
  <c r="BC18"/>
  <c r="BI18"/>
  <c r="BO18"/>
  <c r="AW19"/>
  <c r="BC19"/>
  <c r="BI19"/>
  <c r="BO19"/>
  <c r="AW20"/>
  <c r="BC20"/>
  <c r="BI20"/>
  <c r="BO20"/>
  <c r="AW21"/>
  <c r="BC21"/>
  <c r="BI21"/>
  <c r="BO21"/>
  <c r="AW22"/>
  <c r="AX22" s="1"/>
  <c r="BD22" s="1"/>
  <c r="BC22"/>
  <c r="BI22"/>
  <c r="BO22"/>
  <c r="AW23"/>
  <c r="BC23"/>
  <c r="BI23"/>
  <c r="BO23"/>
  <c r="AW24"/>
  <c r="BC24"/>
  <c r="BI24"/>
  <c r="BO24"/>
  <c r="AW25"/>
  <c r="BC25"/>
  <c r="BI25"/>
  <c r="BO25"/>
  <c r="AW26"/>
  <c r="BC26"/>
  <c r="BI26"/>
  <c r="BO26"/>
  <c r="AW27"/>
  <c r="BC27"/>
  <c r="BI27"/>
  <c r="BO27"/>
  <c r="AW28"/>
  <c r="BC28"/>
  <c r="BI28"/>
  <c r="BO28"/>
  <c r="AW29"/>
  <c r="AX29" s="1"/>
  <c r="BD29" s="1"/>
  <c r="BC29"/>
  <c r="BI29"/>
  <c r="BO29"/>
  <c r="AW30"/>
  <c r="AX30" s="1"/>
  <c r="BD30" s="1"/>
  <c r="BC30"/>
  <c r="BI30"/>
  <c r="BO30"/>
  <c r="AW31"/>
  <c r="AX31" s="1"/>
  <c r="BD31" s="1"/>
  <c r="BC31"/>
  <c r="BI31"/>
  <c r="BO31"/>
  <c r="AW32"/>
  <c r="BC32"/>
  <c r="BI32"/>
  <c r="BO32"/>
  <c r="AW33"/>
  <c r="BC33"/>
  <c r="BI33"/>
  <c r="BO33"/>
  <c r="AW34"/>
  <c r="AX34" s="1"/>
  <c r="BD34" s="1"/>
  <c r="BC34"/>
  <c r="BI34"/>
  <c r="BO34"/>
  <c r="AW36"/>
  <c r="AX36" s="1"/>
  <c r="BD36" s="1"/>
  <c r="BJ36" s="1"/>
  <c r="BP36" s="1"/>
  <c r="BV36" s="1"/>
  <c r="BC36"/>
  <c r="BI36"/>
  <c r="BO36"/>
  <c r="AW37"/>
  <c r="AX37" s="1"/>
  <c r="BD37" s="1"/>
  <c r="BJ37" s="1"/>
  <c r="BP37" s="1"/>
  <c r="BV37" s="1"/>
  <c r="BC37"/>
  <c r="BI37"/>
  <c r="BO37"/>
  <c r="AW40"/>
  <c r="AX40" s="1"/>
  <c r="BD40" s="1"/>
  <c r="BJ40" s="1"/>
  <c r="BP40" s="1"/>
  <c r="BV40" s="1"/>
  <c r="BC40"/>
  <c r="BI40"/>
  <c r="BO40"/>
  <c r="AW41"/>
  <c r="AX41" s="1"/>
  <c r="BD41" s="1"/>
  <c r="BJ41" s="1"/>
  <c r="BP41" s="1"/>
  <c r="BV41" s="1"/>
  <c r="BC41"/>
  <c r="BI41"/>
  <c r="BO41"/>
  <c r="AW42"/>
  <c r="AX42" s="1"/>
  <c r="BD42" s="1"/>
  <c r="BJ42" s="1"/>
  <c r="BP42" s="1"/>
  <c r="BV42" s="1"/>
  <c r="BC42"/>
  <c r="BI42"/>
  <c r="BO42"/>
  <c r="AW43"/>
  <c r="AX43" s="1"/>
  <c r="BD43" s="1"/>
  <c r="BJ43" s="1"/>
  <c r="BP43" s="1"/>
  <c r="BV43" s="1"/>
  <c r="BC43"/>
  <c r="BI43"/>
  <c r="BO43"/>
  <c r="AW44"/>
  <c r="AX44" s="1"/>
  <c r="BD44" s="1"/>
  <c r="BJ44" s="1"/>
  <c r="BP44" s="1"/>
  <c r="BV44" s="1"/>
  <c r="BC44"/>
  <c r="BI44"/>
  <c r="BO44"/>
  <c r="AW45"/>
  <c r="BC45"/>
  <c r="BI45"/>
  <c r="BO45"/>
  <c r="AW46"/>
  <c r="AX46" s="1"/>
  <c r="BD46" s="1"/>
  <c r="BJ46" s="1"/>
  <c r="BP46" s="1"/>
  <c r="BV46" s="1"/>
  <c r="BC46"/>
  <c r="BI46"/>
  <c r="BO46"/>
  <c r="AX48"/>
  <c r="BD48" s="1"/>
  <c r="BJ48" s="1"/>
  <c r="BP48" s="1"/>
  <c r="BV48" s="1"/>
  <c r="AX49"/>
  <c r="BD49" s="1"/>
  <c r="BJ49" s="1"/>
  <c r="BP49" s="1"/>
  <c r="BV49" s="1"/>
  <c r="AX50"/>
  <c r="BD50" s="1"/>
  <c r="BJ50" s="1"/>
  <c r="BP50" s="1"/>
  <c r="BV50" s="1"/>
  <c r="AX51"/>
  <c r="BD51" s="1"/>
  <c r="BJ51" s="1"/>
  <c r="BP51" s="1"/>
  <c r="BV51" s="1"/>
  <c r="AX52"/>
  <c r="BD52" s="1"/>
  <c r="BJ52" s="1"/>
  <c r="BP52" s="1"/>
  <c r="BV52" s="1"/>
  <c r="AX53"/>
  <c r="BD53" s="1"/>
  <c r="BJ53" s="1"/>
  <c r="BP53" s="1"/>
  <c r="BV53" s="1"/>
  <c r="AX54"/>
  <c r="BD54" s="1"/>
  <c r="BJ54" s="1"/>
  <c r="BP54" s="1"/>
  <c r="BV54" s="1"/>
  <c r="AW55"/>
  <c r="AX55" s="1"/>
  <c r="BD55" s="1"/>
  <c r="BJ55" s="1"/>
  <c r="BP55" s="1"/>
  <c r="BV55" s="1"/>
  <c r="BC55"/>
  <c r="BI55"/>
  <c r="BO55"/>
  <c r="AX56"/>
  <c r="BD56" s="1"/>
  <c r="BJ56" s="1"/>
  <c r="BP56" s="1"/>
  <c r="BV56" s="1"/>
  <c r="AW58"/>
  <c r="AX58" s="1"/>
  <c r="BD58" s="1"/>
  <c r="BJ58" s="1"/>
  <c r="BP58" s="1"/>
  <c r="BV58" s="1"/>
  <c r="BC58"/>
  <c r="BI58"/>
  <c r="BO58"/>
  <c r="AX59"/>
  <c r="BD59" s="1"/>
  <c r="BJ59" s="1"/>
  <c r="BP59" s="1"/>
  <c r="BV59" s="1"/>
  <c r="AX60"/>
  <c r="BC60"/>
  <c r="BD60"/>
  <c r="BI60"/>
  <c r="BJ60"/>
  <c r="BO60"/>
  <c r="BP60"/>
  <c r="AX61"/>
  <c r="BD61"/>
  <c r="BJ61" s="1"/>
  <c r="BP61" s="1"/>
  <c r="BV61" s="1"/>
  <c r="AX62"/>
  <c r="BC62"/>
  <c r="BD62" s="1"/>
  <c r="BJ62" s="1"/>
  <c r="BP62" s="1"/>
  <c r="BV62" s="1"/>
  <c r="BI62"/>
  <c r="BO62"/>
  <c r="AX64"/>
  <c r="BD64" s="1"/>
  <c r="BJ64" s="1"/>
  <c r="BP64" s="1"/>
  <c r="BV64" s="1"/>
  <c r="AX65"/>
  <c r="BD65" s="1"/>
  <c r="BJ65" s="1"/>
  <c r="BP65" s="1"/>
  <c r="BV65" s="1"/>
  <c r="AX66"/>
  <c r="BD66" s="1"/>
  <c r="BJ66" s="1"/>
  <c r="BP66" s="1"/>
  <c r="BV66" s="1"/>
  <c r="AX67"/>
  <c r="BD67" s="1"/>
  <c r="BJ67" s="1"/>
  <c r="BP67" s="1"/>
  <c r="BV67" s="1"/>
  <c r="AX68"/>
  <c r="BD68" s="1"/>
  <c r="BJ68" s="1"/>
  <c r="BP68" s="1"/>
  <c r="BV68" s="1"/>
  <c r="AX69"/>
  <c r="BD69" s="1"/>
  <c r="BJ69" s="1"/>
  <c r="BP69" s="1"/>
  <c r="BV69" s="1"/>
  <c r="AX70"/>
  <c r="BD70" s="1"/>
  <c r="BJ70" s="1"/>
  <c r="BP70" s="1"/>
  <c r="BV70" s="1"/>
  <c r="AX71"/>
  <c r="BD71" s="1"/>
  <c r="BJ71" s="1"/>
  <c r="BP71" s="1"/>
  <c r="BV71" s="1"/>
  <c r="AX72"/>
  <c r="BD72" s="1"/>
  <c r="BJ72" s="1"/>
  <c r="BP72" s="1"/>
  <c r="BV72" s="1"/>
  <c r="AX73"/>
  <c r="BC73"/>
  <c r="BD73"/>
  <c r="BI73"/>
  <c r="BJ73"/>
  <c r="BO73"/>
  <c r="BP73"/>
  <c r="AX74"/>
  <c r="BC74"/>
  <c r="BD74" s="1"/>
  <c r="BJ74" s="1"/>
  <c r="BP74" s="1"/>
  <c r="BV74" s="1"/>
  <c r="BI74"/>
  <c r="BO74"/>
  <c r="AX75"/>
  <c r="BD75" s="1"/>
  <c r="BJ75" s="1"/>
  <c r="BP75" s="1"/>
  <c r="BV75" s="1"/>
  <c r="AX76"/>
  <c r="BC76"/>
  <c r="BD76"/>
  <c r="BI76"/>
  <c r="BJ76"/>
  <c r="BO76"/>
  <c r="BP76"/>
  <c r="AX78"/>
  <c r="BD78"/>
  <c r="BJ78" s="1"/>
  <c r="BP78" s="1"/>
  <c r="BV78" s="1"/>
  <c r="AX79"/>
  <c r="BD79"/>
  <c r="BJ79" s="1"/>
  <c r="BP79" s="1"/>
  <c r="BV79" s="1"/>
  <c r="AX80"/>
  <c r="BD80"/>
  <c r="BJ80" s="1"/>
  <c r="BP80" s="1"/>
  <c r="BV80" s="1"/>
  <c r="AX81"/>
  <c r="BD81"/>
  <c r="BJ81" s="1"/>
  <c r="BP81" s="1"/>
  <c r="BV81" s="1"/>
  <c r="AW82"/>
  <c r="AX82"/>
  <c r="BC82"/>
  <c r="BD82"/>
  <c r="BI82"/>
  <c r="BJ82"/>
  <c r="BO82"/>
  <c r="BP82"/>
  <c r="AX83"/>
  <c r="BD83"/>
  <c r="BJ83" s="1"/>
  <c r="BP83" s="1"/>
  <c r="BV83" s="1"/>
  <c r="AX84"/>
  <c r="BD84"/>
  <c r="BJ84" s="1"/>
  <c r="BP84" s="1"/>
  <c r="BV84" s="1"/>
  <c r="AW85"/>
  <c r="AX85"/>
  <c r="BD85" s="1"/>
  <c r="BJ85" s="1"/>
  <c r="BP85" s="1"/>
  <c r="BV85" s="1"/>
  <c r="AX86"/>
  <c r="BD86" s="1"/>
  <c r="BJ86" s="1"/>
  <c r="BP86" s="1"/>
  <c r="BV86" s="1"/>
  <c r="AE6"/>
  <c r="AK6"/>
  <c r="AQ6"/>
  <c r="AW6"/>
  <c r="BC6"/>
  <c r="BI6"/>
  <c r="BO6"/>
  <c r="BO88"/>
  <c r="BO89"/>
  <c r="BU7"/>
  <c r="BV7"/>
  <c r="D88"/>
  <c r="E88"/>
  <c r="I88"/>
  <c r="J88"/>
  <c r="K88"/>
  <c r="O88"/>
  <c r="P88"/>
  <c r="Q88"/>
  <c r="R88"/>
  <c r="S88"/>
  <c r="U88"/>
  <c r="V88"/>
  <c r="W88"/>
  <c r="X88"/>
  <c r="AA88"/>
  <c r="AB88"/>
  <c r="AC88"/>
  <c r="AD88"/>
  <c r="AE88"/>
  <c r="AG88"/>
  <c r="AH88"/>
  <c r="AI88"/>
  <c r="AJ88"/>
  <c r="AK88"/>
  <c r="AM88"/>
  <c r="AN88"/>
  <c r="AO88"/>
  <c r="AP88"/>
  <c r="AQ88"/>
  <c r="S89"/>
  <c r="Y89"/>
  <c r="AE89"/>
  <c r="AK89"/>
  <c r="AQ89"/>
  <c r="BU19"/>
  <c r="BU20"/>
  <c r="BU21"/>
  <c r="BU22"/>
  <c r="E25" i="4"/>
  <c r="O25"/>
  <c r="Q25"/>
  <c r="S25"/>
  <c r="U25"/>
  <c r="W25"/>
  <c r="Y25"/>
  <c r="AA25"/>
  <c r="E26"/>
  <c r="O26"/>
  <c r="AC26" s="1"/>
  <c r="Q26"/>
  <c r="S26"/>
  <c r="U26"/>
  <c r="W26"/>
  <c r="Y26"/>
  <c r="AA26"/>
  <c r="AA15"/>
  <c r="AA13"/>
  <c r="AA12"/>
  <c r="BU43" i="5"/>
  <c r="BU37"/>
  <c r="BU36"/>
  <c r="BU34"/>
  <c r="BU33"/>
  <c r="BU32"/>
  <c r="BU31"/>
  <c r="BU30"/>
  <c r="BU29"/>
  <c r="BU28"/>
  <c r="BU27"/>
  <c r="BU40"/>
  <c r="BU41"/>
  <c r="BU16"/>
  <c r="BV16"/>
  <c r="BU15"/>
  <c r="BV15"/>
  <c r="BU14"/>
  <c r="BV14"/>
  <c r="BU9"/>
  <c r="BU8"/>
  <c r="BU46"/>
  <c r="BU45"/>
  <c r="BU25"/>
  <c r="BU23"/>
  <c r="BU24"/>
  <c r="BU17"/>
  <c r="BU18"/>
  <c r="BV18"/>
  <c r="BU11"/>
  <c r="BU55"/>
  <c r="BU89" s="1"/>
  <c r="BU58"/>
  <c r="BU60"/>
  <c r="BU73"/>
  <c r="BU74"/>
  <c r="BU76"/>
  <c r="BU82"/>
  <c r="O12" i="4"/>
  <c r="Q12"/>
  <c r="S12"/>
  <c r="W12"/>
  <c r="Y12"/>
  <c r="E13"/>
  <c r="M13"/>
  <c r="AC13" s="1"/>
  <c r="O13"/>
  <c r="Q13"/>
  <c r="S13"/>
  <c r="U13"/>
  <c r="W13"/>
  <c r="Y13"/>
  <c r="E14"/>
  <c r="E17" s="1"/>
  <c r="K14"/>
  <c r="M14"/>
  <c r="O14"/>
  <c r="Q14"/>
  <c r="S14"/>
  <c r="U14"/>
  <c r="W14"/>
  <c r="Y14"/>
  <c r="AA14"/>
  <c r="E15"/>
  <c r="K15"/>
  <c r="M15"/>
  <c r="M17" s="1"/>
  <c r="O15"/>
  <c r="Q15"/>
  <c r="Q17" s="1"/>
  <c r="S15"/>
  <c r="U15"/>
  <c r="U17" s="1"/>
  <c r="W15"/>
  <c r="Y15"/>
  <c r="I17"/>
  <c r="K17"/>
  <c r="O17"/>
  <c r="S17"/>
  <c r="W17"/>
  <c r="AA17"/>
  <c r="E28"/>
  <c r="G28"/>
  <c r="I28"/>
  <c r="K28"/>
  <c r="M28"/>
  <c r="O28"/>
  <c r="Q28"/>
  <c r="S28"/>
  <c r="U28"/>
  <c r="W28"/>
  <c r="Y28"/>
  <c r="E36"/>
  <c r="M36"/>
  <c r="O36"/>
  <c r="Q36"/>
  <c r="S36"/>
  <c r="U36"/>
  <c r="W36"/>
  <c r="Y36"/>
  <c r="AA36"/>
  <c r="AC36"/>
  <c r="E37"/>
  <c r="M37"/>
  <c r="O37"/>
  <c r="Q37"/>
  <c r="S37"/>
  <c r="U37"/>
  <c r="W37"/>
  <c r="Y37"/>
  <c r="AA37"/>
  <c r="AC37"/>
  <c r="E39"/>
  <c r="M39"/>
  <c r="O39"/>
  <c r="Q39"/>
  <c r="S39"/>
  <c r="U39"/>
  <c r="W39"/>
  <c r="Y39"/>
  <c r="AA39"/>
  <c r="AC39"/>
  <c r="E40"/>
  <c r="M40"/>
  <c r="S40"/>
  <c r="U40"/>
  <c r="W40"/>
  <c r="Y40"/>
  <c r="B75"/>
  <c r="W15" i="3"/>
  <c r="Y15"/>
  <c r="AA15"/>
  <c r="AI15"/>
  <c r="AU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CL15"/>
  <c r="CM15"/>
  <c r="CN15"/>
  <c r="CO15"/>
  <c r="CP15"/>
  <c r="CQ15"/>
  <c r="CR15"/>
  <c r="CS15"/>
  <c r="CT15"/>
  <c r="CU15"/>
  <c r="CV15"/>
  <c r="CW15"/>
  <c r="CX15"/>
  <c r="CY15"/>
  <c r="CZ15"/>
  <c r="DA15"/>
  <c r="DB15"/>
  <c r="DC15"/>
  <c r="DD15"/>
  <c r="DE15"/>
  <c r="DF15"/>
  <c r="DG15"/>
  <c r="DH15"/>
  <c r="DI15"/>
  <c r="DJ15"/>
  <c r="DK15"/>
  <c r="DL15"/>
  <c r="DM15"/>
  <c r="DN15"/>
  <c r="DO15"/>
  <c r="DP15"/>
  <c r="DQ15"/>
  <c r="DR15"/>
  <c r="DS15"/>
  <c r="DT15"/>
  <c r="DU15"/>
  <c r="DV15"/>
  <c r="DW15"/>
  <c r="DX15"/>
  <c r="DY15"/>
  <c r="DZ15"/>
  <c r="EA15"/>
  <c r="EB15"/>
  <c r="EC15"/>
  <c r="ED15"/>
  <c r="EE15"/>
  <c r="EF15"/>
  <c r="EG15"/>
  <c r="EH15"/>
  <c r="EI15"/>
  <c r="EJ15"/>
  <c r="EK15"/>
  <c r="EL15"/>
  <c r="EM15"/>
  <c r="EN15"/>
  <c r="EO15"/>
  <c r="EP15"/>
  <c r="EQ15"/>
  <c r="ER15"/>
  <c r="ES15"/>
  <c r="ET15"/>
  <c r="EU15"/>
  <c r="EV15"/>
  <c r="EW15"/>
  <c r="EX15"/>
  <c r="EY15"/>
  <c r="EZ15"/>
  <c r="FA15"/>
  <c r="FB15"/>
  <c r="FC15"/>
  <c r="FD15"/>
  <c r="FE15"/>
  <c r="FF15"/>
  <c r="FG15"/>
  <c r="FH15"/>
  <c r="FI15"/>
  <c r="FJ15"/>
  <c r="FK15"/>
  <c r="FL15"/>
  <c r="FM15"/>
  <c r="FN15"/>
  <c r="FO15"/>
  <c r="FP15"/>
  <c r="FQ15"/>
  <c r="FR15"/>
  <c r="FS15"/>
  <c r="FT15"/>
  <c r="FU15"/>
  <c r="FV15"/>
  <c r="FW15"/>
  <c r="FX15"/>
  <c r="FY15"/>
  <c r="FZ15"/>
  <c r="GA15"/>
  <c r="GB15"/>
  <c r="GC15"/>
  <c r="GD15"/>
  <c r="GE15"/>
  <c r="GF15"/>
  <c r="GG15"/>
  <c r="GH15"/>
  <c r="GI15"/>
  <c r="GJ15"/>
  <c r="GK15"/>
  <c r="GL15"/>
  <c r="GM15"/>
  <c r="GN15"/>
  <c r="GO15"/>
  <c r="GP15"/>
  <c r="GQ15"/>
  <c r="GR15"/>
  <c r="GS15"/>
  <c r="GT15"/>
  <c r="GU15"/>
  <c r="GV15"/>
  <c r="GW15"/>
  <c r="GX15"/>
  <c r="GY15"/>
  <c r="GZ15"/>
  <c r="HA15"/>
  <c r="HB15"/>
  <c r="HC15"/>
  <c r="HD15"/>
  <c r="HE15"/>
  <c r="HF15"/>
  <c r="HG15"/>
  <c r="HH15"/>
  <c r="HI15"/>
  <c r="HJ15"/>
  <c r="HK15"/>
  <c r="HL15"/>
  <c r="HM15"/>
  <c r="HN15"/>
  <c r="HO15"/>
  <c r="HP15"/>
  <c r="HQ15"/>
  <c r="HR15"/>
  <c r="HS15"/>
  <c r="HT15"/>
  <c r="HU15"/>
  <c r="HV15"/>
  <c r="HW15"/>
  <c r="HX15"/>
  <c r="HY15"/>
  <c r="HZ15"/>
  <c r="IA15"/>
  <c r="IB15"/>
  <c r="IC15"/>
  <c r="ID15"/>
  <c r="IE15"/>
  <c r="IF15"/>
  <c r="IG15"/>
  <c r="IH15"/>
  <c r="II15"/>
  <c r="IJ15"/>
  <c r="IK15"/>
  <c r="IL15"/>
  <c r="IM15"/>
  <c r="IN15"/>
  <c r="IO15"/>
  <c r="IP15"/>
  <c r="IQ15"/>
  <c r="IR15"/>
  <c r="IS15"/>
  <c r="IT15"/>
  <c r="C46"/>
  <c r="E46"/>
  <c r="I46"/>
  <c r="M46"/>
  <c r="O46"/>
  <c r="P46"/>
  <c r="Q46"/>
  <c r="S46"/>
  <c r="U46"/>
  <c r="W46"/>
  <c r="Y46"/>
  <c r="AA46"/>
  <c r="AC46"/>
  <c r="AE46"/>
  <c r="AG46"/>
  <c r="AK46"/>
  <c r="AO46"/>
  <c r="AS46"/>
  <c r="AS47" s="1"/>
  <c r="AS50" s="1"/>
  <c r="O47"/>
  <c r="U47"/>
  <c r="W47"/>
  <c r="Y47"/>
  <c r="AA47"/>
  <c r="AC47"/>
  <c r="AG47"/>
  <c r="AI47"/>
  <c r="AK47"/>
  <c r="AO47"/>
  <c r="AQ47"/>
  <c r="AX47"/>
  <c r="AY47"/>
  <c r="AZ47"/>
  <c r="BA47"/>
  <c r="BB47"/>
  <c r="BC47"/>
  <c r="BD47"/>
  <c r="BE47"/>
  <c r="BF47"/>
  <c r="BG47"/>
  <c r="BH47"/>
  <c r="BI47"/>
  <c r="BJ47"/>
  <c r="BK47"/>
  <c r="BL47"/>
  <c r="BM47"/>
  <c r="BN47"/>
  <c r="BO47"/>
  <c r="BP47"/>
  <c r="BQ47"/>
  <c r="BR47"/>
  <c r="BS47"/>
  <c r="BT47"/>
  <c r="BU47"/>
  <c r="BV47"/>
  <c r="BW47"/>
  <c r="BX47"/>
  <c r="BY47"/>
  <c r="BZ47"/>
  <c r="CA47"/>
  <c r="CB47"/>
  <c r="CC47"/>
  <c r="CD47"/>
  <c r="CE47"/>
  <c r="CF47"/>
  <c r="CG47"/>
  <c r="CH47"/>
  <c r="CI47"/>
  <c r="CJ47"/>
  <c r="CK47"/>
  <c r="CL47"/>
  <c r="CM47"/>
  <c r="CN47"/>
  <c r="CO47"/>
  <c r="CP47"/>
  <c r="CQ47"/>
  <c r="CR47"/>
  <c r="CS47"/>
  <c r="CT47"/>
  <c r="CU47"/>
  <c r="CV47"/>
  <c r="CW47"/>
  <c r="CX47"/>
  <c r="CY47"/>
  <c r="CZ47"/>
  <c r="DA47"/>
  <c r="DB47"/>
  <c r="DC47"/>
  <c r="DD47"/>
  <c r="DE47"/>
  <c r="DF47"/>
  <c r="DG47"/>
  <c r="DH47"/>
  <c r="DI47"/>
  <c r="DJ47"/>
  <c r="DK47"/>
  <c r="DL47"/>
  <c r="DM47"/>
  <c r="DN47"/>
  <c r="DO47"/>
  <c r="DP47"/>
  <c r="DQ47"/>
  <c r="DR47"/>
  <c r="DS47"/>
  <c r="DT47"/>
  <c r="DU47"/>
  <c r="DV47"/>
  <c r="DW47"/>
  <c r="DX47"/>
  <c r="DY47"/>
  <c r="DZ47"/>
  <c r="EA47"/>
  <c r="EB47"/>
  <c r="EC47"/>
  <c r="ED47"/>
  <c r="EE47"/>
  <c r="EF47"/>
  <c r="EG47"/>
  <c r="EH47"/>
  <c r="EI47"/>
  <c r="EJ47"/>
  <c r="EK47"/>
  <c r="EL47"/>
  <c r="EM47"/>
  <c r="EN47"/>
  <c r="EO47"/>
  <c r="EP47"/>
  <c r="EQ47"/>
  <c r="ER47"/>
  <c r="ES47"/>
  <c r="ET47"/>
  <c r="EU47"/>
  <c r="EV47"/>
  <c r="EW47"/>
  <c r="EX47"/>
  <c r="EY47"/>
  <c r="EZ47"/>
  <c r="FA47"/>
  <c r="FB47"/>
  <c r="FC47"/>
  <c r="FD47"/>
  <c r="FE47"/>
  <c r="FF47"/>
  <c r="FG47"/>
  <c r="FH47"/>
  <c r="FI47"/>
  <c r="FJ47"/>
  <c r="FK47"/>
  <c r="FL47"/>
  <c r="FM47"/>
  <c r="FN47"/>
  <c r="FO47"/>
  <c r="FP47"/>
  <c r="FQ47"/>
  <c r="FR47"/>
  <c r="FS47"/>
  <c r="FT47"/>
  <c r="FU47"/>
  <c r="FV47"/>
  <c r="FW47"/>
  <c r="FX47"/>
  <c r="FY47"/>
  <c r="FZ47"/>
  <c r="GA47"/>
  <c r="GB47"/>
  <c r="GC47"/>
  <c r="GD47"/>
  <c r="GE47"/>
  <c r="GF47"/>
  <c r="GG47"/>
  <c r="GH47"/>
  <c r="GI47"/>
  <c r="GJ47"/>
  <c r="GK47"/>
  <c r="GL47"/>
  <c r="GM47"/>
  <c r="GN47"/>
  <c r="GO47"/>
  <c r="GP47"/>
  <c r="GQ47"/>
  <c r="GR47"/>
  <c r="GS47"/>
  <c r="GT47"/>
  <c r="GU47"/>
  <c r="GV47"/>
  <c r="GW47"/>
  <c r="GX47"/>
  <c r="GY47"/>
  <c r="GZ47"/>
  <c r="HA47"/>
  <c r="HB47"/>
  <c r="HC47"/>
  <c r="HD47"/>
  <c r="HE47"/>
  <c r="HF47"/>
  <c r="HG47"/>
  <c r="HH47"/>
  <c r="HI47"/>
  <c r="HJ47"/>
  <c r="HK47"/>
  <c r="HL47"/>
  <c r="HM47"/>
  <c r="HN47"/>
  <c r="HO47"/>
  <c r="HP47"/>
  <c r="HQ47"/>
  <c r="HR47"/>
  <c r="HS47"/>
  <c r="HT47"/>
  <c r="HU47"/>
  <c r="HV47"/>
  <c r="HW47"/>
  <c r="HX47"/>
  <c r="HY47"/>
  <c r="HZ47"/>
  <c r="IA47"/>
  <c r="IB47"/>
  <c r="IC47"/>
  <c r="ID47"/>
  <c r="IE47"/>
  <c r="IF47"/>
  <c r="IG47"/>
  <c r="IH47"/>
  <c r="II47"/>
  <c r="IJ47"/>
  <c r="IK47"/>
  <c r="IL47"/>
  <c r="IM47"/>
  <c r="IN47"/>
  <c r="IO47"/>
  <c r="IP47"/>
  <c r="IQ47"/>
  <c r="IR47"/>
  <c r="IS47"/>
  <c r="IT47"/>
  <c r="C50"/>
  <c r="O50"/>
  <c r="Q50"/>
  <c r="S50"/>
  <c r="U50"/>
  <c r="W50"/>
  <c r="Y50"/>
  <c r="AA50"/>
  <c r="AC50"/>
  <c r="AE50"/>
  <c r="AG50"/>
  <c r="AI50"/>
  <c r="AK50"/>
  <c r="AO50"/>
  <c r="AQ50"/>
  <c r="AX50"/>
  <c r="AY50"/>
  <c r="AZ50"/>
  <c r="BA50"/>
  <c r="BB50"/>
  <c r="BC50"/>
  <c r="BD50"/>
  <c r="BE50"/>
  <c r="BF50"/>
  <c r="BG50"/>
  <c r="BH50"/>
  <c r="BI50"/>
  <c r="BJ50"/>
  <c r="BK50"/>
  <c r="BL50"/>
  <c r="BM50"/>
  <c r="BN50"/>
  <c r="BO50"/>
  <c r="BP50"/>
  <c r="BQ50"/>
  <c r="BR50"/>
  <c r="BS50"/>
  <c r="BT50"/>
  <c r="BU50"/>
  <c r="BV50"/>
  <c r="BW50"/>
  <c r="BX50"/>
  <c r="BY50"/>
  <c r="BZ50"/>
  <c r="CA50"/>
  <c r="CB50"/>
  <c r="CC50"/>
  <c r="CD50"/>
  <c r="CE50"/>
  <c r="CF50"/>
  <c r="CG50"/>
  <c r="CH50"/>
  <c r="CI50"/>
  <c r="CJ50"/>
  <c r="CK50"/>
  <c r="CL50"/>
  <c r="CM50"/>
  <c r="CN50"/>
  <c r="CO50"/>
  <c r="CP50"/>
  <c r="CQ50"/>
  <c r="CR50"/>
  <c r="CS50"/>
  <c r="CT50"/>
  <c r="CU50"/>
  <c r="CV50"/>
  <c r="CW50"/>
  <c r="CX50"/>
  <c r="CY50"/>
  <c r="CZ50"/>
  <c r="DA50"/>
  <c r="DB50"/>
  <c r="DC50"/>
  <c r="DD50"/>
  <c r="DE50"/>
  <c r="DF50"/>
  <c r="DG50"/>
  <c r="DH50"/>
  <c r="DI50"/>
  <c r="DJ50"/>
  <c r="DK50"/>
  <c r="DL50"/>
  <c r="DM50"/>
  <c r="DN50"/>
  <c r="DO50"/>
  <c r="DP50"/>
  <c r="DQ50"/>
  <c r="DR50"/>
  <c r="DS50"/>
  <c r="DT50"/>
  <c r="DU50"/>
  <c r="DV50"/>
  <c r="DW50"/>
  <c r="DX50"/>
  <c r="DY50"/>
  <c r="DZ50"/>
  <c r="EA50"/>
  <c r="EB50"/>
  <c r="EC50"/>
  <c r="ED50"/>
  <c r="EE50"/>
  <c r="EF50"/>
  <c r="EG50"/>
  <c r="EH50"/>
  <c r="EI50"/>
  <c r="EJ50"/>
  <c r="EK50"/>
  <c r="EL50"/>
  <c r="EM50"/>
  <c r="EN50"/>
  <c r="EO50"/>
  <c r="EP50"/>
  <c r="EQ50"/>
  <c r="ER50"/>
  <c r="ES50"/>
  <c r="ET50"/>
  <c r="EU50"/>
  <c r="EV50"/>
  <c r="EW50"/>
  <c r="EX50"/>
  <c r="EY50"/>
  <c r="EZ50"/>
  <c r="FA50"/>
  <c r="FB50"/>
  <c r="FC50"/>
  <c r="FD50"/>
  <c r="FE50"/>
  <c r="FF50"/>
  <c r="FG50"/>
  <c r="FH50"/>
  <c r="FI50"/>
  <c r="FJ50"/>
  <c r="FK50"/>
  <c r="FL50"/>
  <c r="FM50"/>
  <c r="FN50"/>
  <c r="FO50"/>
  <c r="FP50"/>
  <c r="FQ50"/>
  <c r="FR50"/>
  <c r="FS50"/>
  <c r="FT50"/>
  <c r="FU50"/>
  <c r="FV50"/>
  <c r="FW50"/>
  <c r="FX50"/>
  <c r="FY50"/>
  <c r="FZ50"/>
  <c r="GA50"/>
  <c r="GB50"/>
  <c r="GC50"/>
  <c r="GD50"/>
  <c r="GE50"/>
  <c r="GF50"/>
  <c r="GG50"/>
  <c r="GH50"/>
  <c r="GI50"/>
  <c r="GJ50"/>
  <c r="GK50"/>
  <c r="GL50"/>
  <c r="GM50"/>
  <c r="GN50"/>
  <c r="GO50"/>
  <c r="GP50"/>
  <c r="GQ50"/>
  <c r="GR50"/>
  <c r="GS50"/>
  <c r="GT50"/>
  <c r="GU50"/>
  <c r="GV50"/>
  <c r="GW50"/>
  <c r="GX50"/>
  <c r="GY50"/>
  <c r="GZ50"/>
  <c r="HA50"/>
  <c r="HB50"/>
  <c r="HC50"/>
  <c r="HD50"/>
  <c r="HE50"/>
  <c r="HF50"/>
  <c r="HG50"/>
  <c r="HH50"/>
  <c r="HI50"/>
  <c r="HJ50"/>
  <c r="HK50"/>
  <c r="HL50"/>
  <c r="HM50"/>
  <c r="HN50"/>
  <c r="HO50"/>
  <c r="HP50"/>
  <c r="HQ50"/>
  <c r="HR50"/>
  <c r="HS50"/>
  <c r="HT50"/>
  <c r="HU50"/>
  <c r="HV50"/>
  <c r="HW50"/>
  <c r="HX50"/>
  <c r="HY50"/>
  <c r="HZ50"/>
  <c r="IA50"/>
  <c r="IB50"/>
  <c r="IC50"/>
  <c r="ID50"/>
  <c r="IE50"/>
  <c r="IF50"/>
  <c r="IG50"/>
  <c r="IH50"/>
  <c r="II50"/>
  <c r="IJ50"/>
  <c r="IK50"/>
  <c r="IL50"/>
  <c r="IM50"/>
  <c r="IN50"/>
  <c r="IO50"/>
  <c r="IP50"/>
  <c r="IQ50"/>
  <c r="IR50"/>
  <c r="IS50"/>
  <c r="IT50"/>
  <c r="H55"/>
  <c r="L55"/>
  <c r="P55"/>
  <c r="T55"/>
  <c r="AW89" i="5"/>
  <c r="N81" i="2"/>
  <c r="Q81"/>
  <c r="T81"/>
  <c r="W81"/>
  <c r="Z81"/>
  <c r="N113"/>
  <c r="Q113"/>
  <c r="T113"/>
  <c r="W113"/>
  <c r="Z113"/>
  <c r="N126"/>
  <c r="Q126"/>
  <c r="T126"/>
  <c r="W126"/>
  <c r="Z126"/>
  <c r="E15" i="1"/>
  <c r="E17"/>
  <c r="E35"/>
  <c r="E36"/>
  <c r="E37"/>
  <c r="G37"/>
  <c r="E39"/>
  <c r="D40"/>
  <c r="E40"/>
  <c r="G40"/>
  <c r="G47" s="1"/>
  <c r="G45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BU6" i="5"/>
  <c r="BU13"/>
  <c r="BU26"/>
  <c r="BU42"/>
  <c r="BU44"/>
  <c r="BV60"/>
  <c r="BV73"/>
  <c r="BV76"/>
  <c r="BV82"/>
  <c r="AS88"/>
  <c r="AT88"/>
  <c r="AU88"/>
  <c r="AV88"/>
  <c r="AW88"/>
  <c r="AY88"/>
  <c r="AZ88"/>
  <c r="BA88"/>
  <c r="BB88"/>
  <c r="BC88"/>
  <c r="BE88"/>
  <c r="BF88"/>
  <c r="BG88"/>
  <c r="BH88"/>
  <c r="BI88"/>
  <c r="BK88"/>
  <c r="BL88"/>
  <c r="BM88"/>
  <c r="BN88"/>
  <c r="BQ88"/>
  <c r="BR88"/>
  <c r="BS88"/>
  <c r="BT88"/>
  <c r="BU88"/>
  <c r="BW88"/>
  <c r="BX88"/>
  <c r="BY88"/>
  <c r="BZ88"/>
  <c r="CA88"/>
  <c r="CB88"/>
  <c r="CC88"/>
  <c r="CD88"/>
  <c r="CE88"/>
  <c r="CF88"/>
  <c r="CG88"/>
  <c r="CH88"/>
  <c r="CI88"/>
  <c r="CJ88"/>
  <c r="CK88"/>
  <c r="CL88"/>
  <c r="CM88"/>
  <c r="CN88"/>
  <c r="CO88"/>
  <c r="CP88"/>
  <c r="CQ88"/>
  <c r="CR88"/>
  <c r="CS88"/>
  <c r="CT88"/>
  <c r="CU88"/>
  <c r="CV88"/>
  <c r="CW88"/>
  <c r="CX88"/>
  <c r="CY88"/>
  <c r="CZ88"/>
  <c r="DA88"/>
  <c r="DB88"/>
  <c r="DC88"/>
  <c r="DD88"/>
  <c r="DE88"/>
  <c r="DF88"/>
  <c r="DG88"/>
  <c r="DH88"/>
  <c r="DI88"/>
  <c r="DJ88"/>
  <c r="DK88"/>
  <c r="DL88"/>
  <c r="DM88"/>
  <c r="DN88"/>
  <c r="DO88"/>
  <c r="DP88"/>
  <c r="DQ88"/>
  <c r="DR88"/>
  <c r="DS88"/>
  <c r="DT88"/>
  <c r="DU88"/>
  <c r="DV88"/>
  <c r="DW88"/>
  <c r="DX88"/>
  <c r="DY88"/>
  <c r="DZ88"/>
  <c r="EA88"/>
  <c r="EB88"/>
  <c r="EC88"/>
  <c r="ED88"/>
  <c r="EE88"/>
  <c r="EF88"/>
  <c r="EG88"/>
  <c r="EH88"/>
  <c r="EI88"/>
  <c r="EJ88"/>
  <c r="EK88"/>
  <c r="EL88"/>
  <c r="EM88"/>
  <c r="EN88"/>
  <c r="EO88"/>
  <c r="EP88"/>
  <c r="EQ88"/>
  <c r="ER88"/>
  <c r="ES88"/>
  <c r="ET88"/>
  <c r="EU88"/>
  <c r="EV88"/>
  <c r="EW88"/>
  <c r="EX88"/>
  <c r="EY88"/>
  <c r="EZ88"/>
  <c r="FA88"/>
  <c r="FB88"/>
  <c r="FC88"/>
  <c r="FD88"/>
  <c r="FE88"/>
  <c r="FF88"/>
  <c r="FG88"/>
  <c r="FH88"/>
  <c r="FI88"/>
  <c r="FJ88"/>
  <c r="FK88"/>
  <c r="FL88"/>
  <c r="FM88"/>
  <c r="FN88"/>
  <c r="FO88"/>
  <c r="FP88"/>
  <c r="FQ88"/>
  <c r="FR88"/>
  <c r="FS88"/>
  <c r="FT88"/>
  <c r="FU88"/>
  <c r="FV88"/>
  <c r="FW88"/>
  <c r="FX88"/>
  <c r="FY88"/>
  <c r="FZ88"/>
  <c r="GA88"/>
  <c r="GB88"/>
  <c r="GC88"/>
  <c r="GD88"/>
  <c r="GE88"/>
  <c r="GF88"/>
  <c r="GG88"/>
  <c r="GH88"/>
  <c r="GI88"/>
  <c r="GJ88"/>
  <c r="GK88"/>
  <c r="GL88"/>
  <c r="GM88"/>
  <c r="GN88"/>
  <c r="GO88"/>
  <c r="GP88"/>
  <c r="GQ88"/>
  <c r="GR88"/>
  <c r="GS88"/>
  <c r="GT88"/>
  <c r="GU88"/>
  <c r="GV88"/>
  <c r="GW88"/>
  <c r="GX88"/>
  <c r="GY88"/>
  <c r="GZ88"/>
  <c r="HA88"/>
  <c r="HB88"/>
  <c r="HC88"/>
  <c r="HD88"/>
  <c r="HE88"/>
  <c r="HF88"/>
  <c r="HG88"/>
  <c r="HH88"/>
  <c r="HI88"/>
  <c r="HJ88"/>
  <c r="HK88"/>
  <c r="HL88"/>
  <c r="HM88"/>
  <c r="HN88"/>
  <c r="HO88"/>
  <c r="HP88"/>
  <c r="HQ88"/>
  <c r="HR88"/>
  <c r="HS88"/>
  <c r="HT88"/>
  <c r="HU88"/>
  <c r="HV88"/>
  <c r="HW88"/>
  <c r="HX88"/>
  <c r="HY88"/>
  <c r="HZ88"/>
  <c r="IA88"/>
  <c r="IB88"/>
  <c r="IC88"/>
  <c r="ID88"/>
  <c r="IE88"/>
  <c r="IF88"/>
  <c r="IG88"/>
  <c r="IH88"/>
  <c r="II88"/>
  <c r="IJ88"/>
  <c r="IK88"/>
  <c r="IL88"/>
  <c r="IM88"/>
  <c r="IN88"/>
  <c r="IO88"/>
  <c r="IP88"/>
  <c r="IQ88"/>
  <c r="BC89"/>
  <c r="BI89"/>
  <c r="AC14" i="4" l="1"/>
  <c r="J45" i="3"/>
  <c r="J44"/>
  <c r="J42"/>
  <c r="J39"/>
  <c r="J25"/>
  <c r="AC15" i="4"/>
  <c r="Y17"/>
  <c r="AC12"/>
  <c r="AA28"/>
  <c r="AC25"/>
  <c r="AC28" s="1"/>
  <c r="AJ15" i="3"/>
  <c r="AJ16" s="1"/>
  <c r="AB15"/>
  <c r="AB16" s="1"/>
  <c r="N40"/>
  <c r="J49"/>
  <c r="N49" s="1"/>
  <c r="R49" s="1"/>
  <c r="T15"/>
  <c r="T16" s="1"/>
  <c r="N43"/>
  <c r="J41"/>
  <c r="N41" s="1"/>
  <c r="R41" s="1"/>
  <c r="J36"/>
  <c r="J34"/>
  <c r="N34" s="1"/>
  <c r="R34" s="1"/>
  <c r="V34" s="1"/>
  <c r="Z34" s="1"/>
  <c r="AD34" s="1"/>
  <c r="AH34" s="1"/>
  <c r="AL34" s="1"/>
  <c r="AP34" s="1"/>
  <c r="AT34" s="1"/>
  <c r="AV34" s="1"/>
  <c r="J37"/>
  <c r="N37" s="1"/>
  <c r="R37" s="1"/>
  <c r="V37" s="1"/>
  <c r="Z37" s="1"/>
  <c r="AD37" s="1"/>
  <c r="AH37" s="1"/>
  <c r="AL37" s="1"/>
  <c r="AP37" s="1"/>
  <c r="AT37" s="1"/>
  <c r="AR46"/>
  <c r="T6" i="5"/>
  <c r="BJ34"/>
  <c r="BP34" s="1"/>
  <c r="BV34" s="1"/>
  <c r="BJ31"/>
  <c r="BP31" s="1"/>
  <c r="BV31" s="1"/>
  <c r="BJ30"/>
  <c r="BP30" s="1"/>
  <c r="BV30" s="1"/>
  <c r="BJ29"/>
  <c r="BP29" s="1"/>
  <c r="BV29" s="1"/>
  <c r="BJ22"/>
  <c r="BP22" s="1"/>
  <c r="BV22" s="1"/>
  <c r="AX25"/>
  <c r="BD25" s="1"/>
  <c r="BJ25" s="1"/>
  <c r="BP25" s="1"/>
  <c r="BV25" s="1"/>
  <c r="AF46" i="3"/>
  <c r="AB46"/>
  <c r="AX24" i="5"/>
  <c r="BD24" s="1"/>
  <c r="BJ24" s="1"/>
  <c r="BP24" s="1"/>
  <c r="BV24" s="1"/>
  <c r="AR15" i="3"/>
  <c r="AN15"/>
  <c r="AF15"/>
  <c r="AB47"/>
  <c r="AB50" s="1"/>
  <c r="X15"/>
  <c r="AN46"/>
  <c r="X46"/>
  <c r="AJ46"/>
  <c r="AJ47" s="1"/>
  <c r="AJ50" s="1"/>
  <c r="AC11" i="4"/>
  <c r="AC17" s="1"/>
  <c r="AX26" i="5"/>
  <c r="BD26" s="1"/>
  <c r="BJ26" s="1"/>
  <c r="BP26" s="1"/>
  <c r="BV26" s="1"/>
  <c r="D43" i="1"/>
  <c r="N45" i="5"/>
  <c r="T45" s="1"/>
  <c r="Z45" s="1"/>
  <c r="AF45" s="1"/>
  <c r="AL45" s="1"/>
  <c r="AR45" s="1"/>
  <c r="AX45" s="1"/>
  <c r="BD45" s="1"/>
  <c r="BJ45" s="1"/>
  <c r="BP45" s="1"/>
  <c r="BV45" s="1"/>
  <c r="J19" i="3"/>
  <c r="N19" s="1"/>
  <c r="R19" s="1"/>
  <c r="V19" s="1"/>
  <c r="Z19" s="1"/>
  <c r="AD19" s="1"/>
  <c r="AH19" s="1"/>
  <c r="AL19" s="1"/>
  <c r="AP19" s="1"/>
  <c r="AT19" s="1"/>
  <c r="AU19" s="1"/>
  <c r="AW19" s="1"/>
  <c r="J154" i="2"/>
  <c r="D22" i="1"/>
  <c r="U17" i="6"/>
  <c r="U19" s="1"/>
  <c r="T19"/>
  <c r="T23" i="5"/>
  <c r="Z23" s="1"/>
  <c r="AF23" s="1"/>
  <c r="AL23" s="1"/>
  <c r="AR23" s="1"/>
  <c r="AX23" s="1"/>
  <c r="BD23" s="1"/>
  <c r="BJ23" s="1"/>
  <c r="BP23" s="1"/>
  <c r="BV23" s="1"/>
  <c r="T21"/>
  <c r="Z21" s="1"/>
  <c r="AF21" s="1"/>
  <c r="AL21" s="1"/>
  <c r="AR21" s="1"/>
  <c r="AX21" s="1"/>
  <c r="BD21" s="1"/>
  <c r="BJ21" s="1"/>
  <c r="BP21" s="1"/>
  <c r="BV21" s="1"/>
  <c r="T20"/>
  <c r="Z20" s="1"/>
  <c r="AF20" s="1"/>
  <c r="AL20" s="1"/>
  <c r="AR20" s="1"/>
  <c r="AX20" s="1"/>
  <c r="BD20" s="1"/>
  <c r="BJ20" s="1"/>
  <c r="BP20" s="1"/>
  <c r="BV20" s="1"/>
  <c r="T19"/>
  <c r="Z19" s="1"/>
  <c r="AF19" s="1"/>
  <c r="AL19" s="1"/>
  <c r="AR19" s="1"/>
  <c r="AX19" s="1"/>
  <c r="BD19" s="1"/>
  <c r="BJ19" s="1"/>
  <c r="BP19" s="1"/>
  <c r="BV19" s="1"/>
  <c r="T17"/>
  <c r="Z17" s="1"/>
  <c r="AF17" s="1"/>
  <c r="AL17" s="1"/>
  <c r="AR17" s="1"/>
  <c r="AX17" s="1"/>
  <c r="BD17" s="1"/>
  <c r="BJ17" s="1"/>
  <c r="BP17" s="1"/>
  <c r="BV17" s="1"/>
  <c r="T13"/>
  <c r="Z13" s="1"/>
  <c r="AF13" s="1"/>
  <c r="AL13" s="1"/>
  <c r="AR13" s="1"/>
  <c r="AX13" s="1"/>
  <c r="BD13" s="1"/>
  <c r="BJ13" s="1"/>
  <c r="BP13" s="1"/>
  <c r="BV13" s="1"/>
  <c r="T87"/>
  <c r="Z87" s="1"/>
  <c r="AF87" s="1"/>
  <c r="AL87" s="1"/>
  <c r="AR87" s="1"/>
  <c r="AX87" s="1"/>
  <c r="BD87" s="1"/>
  <c r="BJ87" s="1"/>
  <c r="BP87" s="1"/>
  <c r="BV87" s="1"/>
  <c r="T27"/>
  <c r="Z27" s="1"/>
  <c r="AF27" s="1"/>
  <c r="AL27" s="1"/>
  <c r="AR27" s="1"/>
  <c r="AX27" s="1"/>
  <c r="BD27" s="1"/>
  <c r="BJ27" s="1"/>
  <c r="BP27" s="1"/>
  <c r="BV27" s="1"/>
  <c r="T11"/>
  <c r="Z11" s="1"/>
  <c r="AF11" s="1"/>
  <c r="AL11" s="1"/>
  <c r="AR11" s="1"/>
  <c r="AX11" s="1"/>
  <c r="BD11" s="1"/>
  <c r="BJ11" s="1"/>
  <c r="BP11" s="1"/>
  <c r="BV11" s="1"/>
  <c r="N48" i="3"/>
  <c r="R48" s="1"/>
  <c r="V48" s="1"/>
  <c r="Z48" s="1"/>
  <c r="AD48" s="1"/>
  <c r="AH48" s="1"/>
  <c r="AL48" s="1"/>
  <c r="AP48" s="1"/>
  <c r="AT48" s="1"/>
  <c r="AV48" s="1"/>
  <c r="N14"/>
  <c r="R14" s="1"/>
  <c r="V14" s="1"/>
  <c r="Z14" s="1"/>
  <c r="AD14" s="1"/>
  <c r="AH14" s="1"/>
  <c r="AL14" s="1"/>
  <c r="AP14" s="1"/>
  <c r="AT14" s="1"/>
  <c r="AV14" s="1"/>
  <c r="N45"/>
  <c r="R45" s="1"/>
  <c r="V45" s="1"/>
  <c r="Z45" s="1"/>
  <c r="AD45" s="1"/>
  <c r="AH45" s="1"/>
  <c r="AL45" s="1"/>
  <c r="AP45" s="1"/>
  <c r="AT45" s="1"/>
  <c r="N44"/>
  <c r="R44" s="1"/>
  <c r="V44" s="1"/>
  <c r="Z44" s="1"/>
  <c r="AD44" s="1"/>
  <c r="AH44" s="1"/>
  <c r="AL44" s="1"/>
  <c r="AP44" s="1"/>
  <c r="AT44" s="1"/>
  <c r="N42"/>
  <c r="R42" s="1"/>
  <c r="V42" s="1"/>
  <c r="Z42" s="1"/>
  <c r="AD42" s="1"/>
  <c r="AH42" s="1"/>
  <c r="AL42" s="1"/>
  <c r="AP42" s="1"/>
  <c r="AT42" s="1"/>
  <c r="L46"/>
  <c r="N39"/>
  <c r="R39" s="1"/>
  <c r="V39" s="1"/>
  <c r="Z39" s="1"/>
  <c r="AD39" s="1"/>
  <c r="AH39" s="1"/>
  <c r="AL39" s="1"/>
  <c r="AP39" s="1"/>
  <c r="AT39" s="1"/>
  <c r="AV39" s="1"/>
  <c r="N25"/>
  <c r="R25" s="1"/>
  <c r="V25" s="1"/>
  <c r="Z25" s="1"/>
  <c r="AD25" s="1"/>
  <c r="AH25" s="1"/>
  <c r="AL25" s="1"/>
  <c r="AP25" s="1"/>
  <c r="AT25" s="1"/>
  <c r="AJ45" i="6"/>
  <c r="R40" i="3"/>
  <c r="V49"/>
  <c r="L47"/>
  <c r="L50" s="1"/>
  <c r="R43"/>
  <c r="V41"/>
  <c r="Z41" s="1"/>
  <c r="AD41" s="1"/>
  <c r="AH41" s="1"/>
  <c r="AL41" s="1"/>
  <c r="AP41" s="1"/>
  <c r="AT41" s="1"/>
  <c r="V38"/>
  <c r="Z38" s="1"/>
  <c r="AD38" s="1"/>
  <c r="AH38" s="1"/>
  <c r="AL38" s="1"/>
  <c r="AP38" s="1"/>
  <c r="AT38" s="1"/>
  <c r="AV38" s="1"/>
  <c r="N35"/>
  <c r="R35" s="1"/>
  <c r="V35" s="1"/>
  <c r="Z35" s="1"/>
  <c r="AD35" s="1"/>
  <c r="AH35" s="1"/>
  <c r="AL35" s="1"/>
  <c r="AP35" s="1"/>
  <c r="AT35" s="1"/>
  <c r="N33"/>
  <c r="R33" s="1"/>
  <c r="V33" s="1"/>
  <c r="Z33" s="1"/>
  <c r="AD33" s="1"/>
  <c r="AH33" s="1"/>
  <c r="AL33" s="1"/>
  <c r="AP33" s="1"/>
  <c r="AT33" s="1"/>
  <c r="AV33" s="1"/>
  <c r="N29"/>
  <c r="R29" s="1"/>
  <c r="V29" s="1"/>
  <c r="Z29" s="1"/>
  <c r="AD29" s="1"/>
  <c r="AH29" s="1"/>
  <c r="AL29" s="1"/>
  <c r="AP29" s="1"/>
  <c r="AT29" s="1"/>
  <c r="N27"/>
  <c r="R27" s="1"/>
  <c r="V27" s="1"/>
  <c r="Z27" s="1"/>
  <c r="AD27" s="1"/>
  <c r="AH27" s="1"/>
  <c r="AL27" s="1"/>
  <c r="AP27" s="1"/>
  <c r="AT27" s="1"/>
  <c r="N20"/>
  <c r="R20" s="1"/>
  <c r="V20" s="1"/>
  <c r="Z20" s="1"/>
  <c r="AD20" s="1"/>
  <c r="AH20" s="1"/>
  <c r="AL20" s="1"/>
  <c r="AP20" s="1"/>
  <c r="AT20" s="1"/>
  <c r="AV20" s="1"/>
  <c r="N24"/>
  <c r="R24" s="1"/>
  <c r="V24" s="1"/>
  <c r="Z24" s="1"/>
  <c r="AD24" s="1"/>
  <c r="AH24" s="1"/>
  <c r="AL24" s="1"/>
  <c r="AP24" s="1"/>
  <c r="AT24" s="1"/>
  <c r="AV24" s="1"/>
  <c r="N36"/>
  <c r="R36" s="1"/>
  <c r="V36" s="1"/>
  <c r="Z36" s="1"/>
  <c r="AD36" s="1"/>
  <c r="AH36" s="1"/>
  <c r="AL36" s="1"/>
  <c r="AP36" s="1"/>
  <c r="AT36" s="1"/>
  <c r="AV36" s="1"/>
  <c r="J16" i="2"/>
  <c r="D12" i="1"/>
  <c r="N8" i="5"/>
  <c r="T8" s="1"/>
  <c r="Z8" s="1"/>
  <c r="AF8" s="1"/>
  <c r="AL8" s="1"/>
  <c r="AR8" s="1"/>
  <c r="AX8" s="1"/>
  <c r="BD8" s="1"/>
  <c r="BJ8" s="1"/>
  <c r="BP8" s="1"/>
  <c r="BV8" s="1"/>
  <c r="D21" i="1"/>
  <c r="J153" i="2"/>
  <c r="J161" s="1"/>
  <c r="J175"/>
  <c r="N32" i="5"/>
  <c r="T32" s="1"/>
  <c r="Z32" s="1"/>
  <c r="AF32" s="1"/>
  <c r="AL32" s="1"/>
  <c r="AR32" s="1"/>
  <c r="AX32" s="1"/>
  <c r="BD32" s="1"/>
  <c r="BJ32" s="1"/>
  <c r="BP32" s="1"/>
  <c r="BV32" s="1"/>
  <c r="D31" i="3"/>
  <c r="F31" s="1"/>
  <c r="J31" s="1"/>
  <c r="N31" s="1"/>
  <c r="R31" s="1"/>
  <c r="V31" s="1"/>
  <c r="Z31" s="1"/>
  <c r="AD31" s="1"/>
  <c r="AH31" s="1"/>
  <c r="AL31" s="1"/>
  <c r="AP31" s="1"/>
  <c r="AT31" s="1"/>
  <c r="H77" i="5"/>
  <c r="N77" s="1"/>
  <c r="T77" s="1"/>
  <c r="Z77" s="1"/>
  <c r="AF77" s="1"/>
  <c r="AL77" s="1"/>
  <c r="AR77" s="1"/>
  <c r="AX77" s="1"/>
  <c r="BD77" s="1"/>
  <c r="BJ77" s="1"/>
  <c r="BP77" s="1"/>
  <c r="BV77" s="1"/>
  <c r="D11" i="3"/>
  <c r="F11" s="1"/>
  <c r="J11" s="1"/>
  <c r="N11" s="1"/>
  <c r="R11" s="1"/>
  <c r="V11" s="1"/>
  <c r="Z11" s="1"/>
  <c r="AD11" s="1"/>
  <c r="AH11" s="1"/>
  <c r="AL11" s="1"/>
  <c r="AP11" s="1"/>
  <c r="AT11" s="1"/>
  <c r="AV11" s="1"/>
  <c r="H57" i="5"/>
  <c r="N57" s="1"/>
  <c r="T57" s="1"/>
  <c r="Z57" s="1"/>
  <c r="AF57" s="1"/>
  <c r="AL57" s="1"/>
  <c r="AR57" s="1"/>
  <c r="AX57" s="1"/>
  <c r="BD57" s="1"/>
  <c r="BJ57" s="1"/>
  <c r="BP57" s="1"/>
  <c r="BV57" s="1"/>
  <c r="D9" i="3"/>
  <c r="G89" i="5"/>
  <c r="H47"/>
  <c r="H88" s="1"/>
  <c r="H7" i="6"/>
  <c r="W27"/>
  <c r="AI27" s="1"/>
  <c r="AJ27" s="1"/>
  <c r="H27"/>
  <c r="W22"/>
  <c r="H22"/>
  <c r="G22"/>
  <c r="F22"/>
  <c r="G68"/>
  <c r="H68" s="1"/>
  <c r="R68" s="1"/>
  <c r="E71"/>
  <c r="AJ62"/>
  <c r="J19" i="2"/>
  <c r="N9" i="5"/>
  <c r="T9" s="1"/>
  <c r="Z9" s="1"/>
  <c r="AF9" s="1"/>
  <c r="AL9" s="1"/>
  <c r="AR9" s="1"/>
  <c r="AX9" s="1"/>
  <c r="BD9" s="1"/>
  <c r="BJ9" s="1"/>
  <c r="BP9" s="1"/>
  <c r="BV9" s="1"/>
  <c r="D25" i="1"/>
  <c r="J30" i="3"/>
  <c r="N30" s="1"/>
  <c r="R30" s="1"/>
  <c r="V30" s="1"/>
  <c r="Z30" s="1"/>
  <c r="AD30" s="1"/>
  <c r="AH30" s="1"/>
  <c r="AL30" s="1"/>
  <c r="AP30" s="1"/>
  <c r="AT30" s="1"/>
  <c r="AV30" s="1"/>
  <c r="J22"/>
  <c r="N22" s="1"/>
  <c r="R22" s="1"/>
  <c r="V22" s="1"/>
  <c r="Z22" s="1"/>
  <c r="AD22" s="1"/>
  <c r="AH22" s="1"/>
  <c r="AL22" s="1"/>
  <c r="AP22" s="1"/>
  <c r="AT22" s="1"/>
  <c r="J149" i="2"/>
  <c r="F87" i="10"/>
  <c r="D87"/>
  <c r="I56" i="6"/>
  <c r="K56"/>
  <c r="M56"/>
  <c r="O56"/>
  <c r="Q56"/>
  <c r="T56"/>
  <c r="U25"/>
  <c r="U39" s="1"/>
  <c r="AI7"/>
  <c r="W16"/>
  <c r="AI16" s="1"/>
  <c r="AJ16" s="1"/>
  <c r="W68"/>
  <c r="AI68" s="1"/>
  <c r="AJ68" s="1"/>
  <c r="G88" i="5"/>
  <c r="D32" i="3"/>
  <c r="F32" s="1"/>
  <c r="J32" s="1"/>
  <c r="N32" s="1"/>
  <c r="R32" s="1"/>
  <c r="V32" s="1"/>
  <c r="Z32" s="1"/>
  <c r="AD32" s="1"/>
  <c r="AH32" s="1"/>
  <c r="AL32" s="1"/>
  <c r="AP32" s="1"/>
  <c r="AT32" s="1"/>
  <c r="AV32" s="1"/>
  <c r="D28"/>
  <c r="F28" s="1"/>
  <c r="J28" s="1"/>
  <c r="N28" s="1"/>
  <c r="R28" s="1"/>
  <c r="V28" s="1"/>
  <c r="Z28" s="1"/>
  <c r="AD28" s="1"/>
  <c r="AH28" s="1"/>
  <c r="AL28" s="1"/>
  <c r="AP28" s="1"/>
  <c r="AT28" s="1"/>
  <c r="AU28" s="1"/>
  <c r="AW28" s="1"/>
  <c r="D23"/>
  <c r="F23" s="1"/>
  <c r="J12"/>
  <c r="N12" s="1"/>
  <c r="R12" s="1"/>
  <c r="V12" s="1"/>
  <c r="Z12" s="1"/>
  <c r="AD12" s="1"/>
  <c r="AH12" s="1"/>
  <c r="AL12" s="1"/>
  <c r="AP12" s="1"/>
  <c r="AT12" s="1"/>
  <c r="AV12" s="1"/>
  <c r="J170" i="2"/>
  <c r="N28" i="5"/>
  <c r="T28" s="1"/>
  <c r="Z28" s="1"/>
  <c r="AF28" s="1"/>
  <c r="AL28" s="1"/>
  <c r="AR28" s="1"/>
  <c r="AX28" s="1"/>
  <c r="BD28" s="1"/>
  <c r="BJ28" s="1"/>
  <c r="BP28" s="1"/>
  <c r="BV28" s="1"/>
  <c r="J176" i="2"/>
  <c r="N33" i="5"/>
  <c r="T33" s="1"/>
  <c r="Z33" s="1"/>
  <c r="AF33" s="1"/>
  <c r="AL33" s="1"/>
  <c r="AR33" s="1"/>
  <c r="AX33" s="1"/>
  <c r="BD33" s="1"/>
  <c r="BJ33" s="1"/>
  <c r="BP33" s="1"/>
  <c r="BV33" s="1"/>
  <c r="J119" i="2"/>
  <c r="D16" i="1"/>
  <c r="W13" i="6"/>
  <c r="AI13" s="1"/>
  <c r="AJ13" s="1"/>
  <c r="G13"/>
  <c r="H13" s="1"/>
  <c r="F13"/>
  <c r="F19" s="1"/>
  <c r="G8"/>
  <c r="H8" s="1"/>
  <c r="E19"/>
  <c r="H28"/>
  <c r="G28"/>
  <c r="F28"/>
  <c r="H26"/>
  <c r="G26"/>
  <c r="F26"/>
  <c r="W49"/>
  <c r="AI49" s="1"/>
  <c r="AJ49" s="1"/>
  <c r="H49"/>
  <c r="S49" s="1"/>
  <c r="E54"/>
  <c r="E56" s="1"/>
  <c r="H62"/>
  <c r="H71" s="1"/>
  <c r="G71"/>
  <c r="J185" i="2"/>
  <c r="D166"/>
  <c r="D168" s="1"/>
  <c r="T43" i="3"/>
  <c r="T46" s="1"/>
  <c r="T47" s="1"/>
  <c r="T50" s="1"/>
  <c r="P9"/>
  <c r="P15" s="1"/>
  <c r="H9"/>
  <c r="H15" s="1"/>
  <c r="J26"/>
  <c r="N26" s="1"/>
  <c r="R26" s="1"/>
  <c r="V26" s="1"/>
  <c r="Z26" s="1"/>
  <c r="AD26" s="1"/>
  <c r="AH26" s="1"/>
  <c r="AL26" s="1"/>
  <c r="AP26" s="1"/>
  <c r="AT26" s="1"/>
  <c r="AU26" s="1"/>
  <c r="AW26" s="1"/>
  <c r="J18"/>
  <c r="H54" i="6"/>
  <c r="J56"/>
  <c r="L56"/>
  <c r="N56"/>
  <c r="P56"/>
  <c r="W18"/>
  <c r="AI18" s="1"/>
  <c r="AJ18" s="1"/>
  <c r="W8"/>
  <c r="AI8" s="1"/>
  <c r="AJ8" s="1"/>
  <c r="W26"/>
  <c r="AI26" s="1"/>
  <c r="AJ26" s="1"/>
  <c r="D21" i="3"/>
  <c r="F21" s="1"/>
  <c r="J21" s="1"/>
  <c r="N21" s="1"/>
  <c r="R21" s="1"/>
  <c r="V21" s="1"/>
  <c r="Z21" s="1"/>
  <c r="AD21" s="1"/>
  <c r="AH21" s="1"/>
  <c r="AL21" s="1"/>
  <c r="AP21" s="1"/>
  <c r="AT21" s="1"/>
  <c r="AV21" s="1"/>
  <c r="W54" i="6"/>
  <c r="N10" i="5"/>
  <c r="T10" s="1"/>
  <c r="Z10" s="1"/>
  <c r="AF10" s="1"/>
  <c r="AL10" s="1"/>
  <c r="AR10" s="1"/>
  <c r="AX10" s="1"/>
  <c r="BD10" s="1"/>
  <c r="BJ10" s="1"/>
  <c r="BP10" s="1"/>
  <c r="BV10" s="1"/>
  <c r="D14" i="1"/>
  <c r="AJ53" i="3" l="1"/>
  <c r="AJ57"/>
  <c r="AJ51"/>
  <c r="AJ60"/>
  <c r="N18"/>
  <c r="J46"/>
  <c r="H47"/>
  <c r="H50" s="1"/>
  <c r="H16"/>
  <c r="T51"/>
  <c r="T53"/>
  <c r="T57"/>
  <c r="T60"/>
  <c r="U49" i="6"/>
  <c r="U54" s="1"/>
  <c r="U56" s="1"/>
  <c r="S54"/>
  <c r="S56" s="1"/>
  <c r="AU22" i="3"/>
  <c r="AW22" s="1"/>
  <c r="AV22"/>
  <c r="D29" i="1"/>
  <c r="E25"/>
  <c r="R71" i="6"/>
  <c r="U68"/>
  <c r="U71" s="1"/>
  <c r="W39"/>
  <c r="AI22"/>
  <c r="AU27" i="3"/>
  <c r="AW27" s="1"/>
  <c r="AV27"/>
  <c r="Z49"/>
  <c r="O40" i="4"/>
  <c r="AV42" i="3"/>
  <c r="AU42"/>
  <c r="AW42" s="1"/>
  <c r="AU45"/>
  <c r="AW45" s="1"/>
  <c r="AV45"/>
  <c r="AB53"/>
  <c r="AB57"/>
  <c r="AB51"/>
  <c r="AB60"/>
  <c r="D46"/>
  <c r="AJ71" i="6"/>
  <c r="G39"/>
  <c r="H19"/>
  <c r="W19"/>
  <c r="W56" s="1"/>
  <c r="V43" i="3"/>
  <c r="Z43" s="1"/>
  <c r="AD43" s="1"/>
  <c r="AH43" s="1"/>
  <c r="AL43" s="1"/>
  <c r="AP43" s="1"/>
  <c r="AT43" s="1"/>
  <c r="AV43" s="1"/>
  <c r="AI54" i="6"/>
  <c r="AV19" i="3"/>
  <c r="AV26"/>
  <c r="P47"/>
  <c r="P50" s="1"/>
  <c r="P16"/>
  <c r="AJ7" i="6"/>
  <c r="AJ19" s="1"/>
  <c r="AI19"/>
  <c r="H89" i="5"/>
  <c r="N47"/>
  <c r="D13" i="3"/>
  <c r="F9"/>
  <c r="D15"/>
  <c r="D47" s="1"/>
  <c r="D50" s="1"/>
  <c r="AU31"/>
  <c r="AW31" s="1"/>
  <c r="AV31"/>
  <c r="D23" i="1"/>
  <c r="J162" i="2" s="1"/>
  <c r="E21" i="1"/>
  <c r="D18"/>
  <c r="D30" s="1"/>
  <c r="E12"/>
  <c r="E18" s="1"/>
  <c r="AU29" i="3"/>
  <c r="AW29" s="1"/>
  <c r="AV29"/>
  <c r="AU35"/>
  <c r="AW35" s="1"/>
  <c r="AV35"/>
  <c r="AU41"/>
  <c r="AW41" s="1"/>
  <c r="AV41"/>
  <c r="L51"/>
  <c r="L53"/>
  <c r="L57"/>
  <c r="L60"/>
  <c r="AU25"/>
  <c r="AW25" s="1"/>
  <c r="AV25"/>
  <c r="AU44"/>
  <c r="AW44" s="1"/>
  <c r="AV44"/>
  <c r="AU37"/>
  <c r="AW37" s="1"/>
  <c r="AV37"/>
  <c r="X47"/>
  <c r="X50" s="1"/>
  <c r="X16"/>
  <c r="AF47"/>
  <c r="AF50" s="1"/>
  <c r="AF16"/>
  <c r="AN47"/>
  <c r="AN50" s="1"/>
  <c r="AN16"/>
  <c r="AR47"/>
  <c r="AR50" s="1"/>
  <c r="AR16"/>
  <c r="Z6" i="5"/>
  <c r="W71" i="6"/>
  <c r="AI71"/>
  <c r="F39"/>
  <c r="F56" s="1"/>
  <c r="H39"/>
  <c r="H56" s="1"/>
  <c r="G19"/>
  <c r="AJ54"/>
  <c r="F46" i="3"/>
  <c r="AV28"/>
  <c r="AR51" l="1"/>
  <c r="AR57"/>
  <c r="AR53"/>
  <c r="AR60"/>
  <c r="AN53"/>
  <c r="AN57"/>
  <c r="AN51"/>
  <c r="AN60"/>
  <c r="AF51"/>
  <c r="AF57"/>
  <c r="AF53"/>
  <c r="AF60"/>
  <c r="X57"/>
  <c r="X51"/>
  <c r="X53"/>
  <c r="X60"/>
  <c r="F15"/>
  <c r="F47" s="1"/>
  <c r="F50" s="1"/>
  <c r="J9"/>
  <c r="T47" i="5"/>
  <c r="N89"/>
  <c r="AD49" i="3"/>
  <c r="AH49" s="1"/>
  <c r="AL49" s="1"/>
  <c r="AP49" s="1"/>
  <c r="AT49" s="1"/>
  <c r="Q40" i="4"/>
  <c r="H60" i="3"/>
  <c r="H51"/>
  <c r="H53"/>
  <c r="H57"/>
  <c r="R18"/>
  <c r="N46"/>
  <c r="N88" i="5"/>
  <c r="G56" i="6"/>
  <c r="AK54"/>
  <c r="AF6" i="5"/>
  <c r="E29" i="1"/>
  <c r="E30"/>
  <c r="D53" i="3"/>
  <c r="D57"/>
  <c r="D51"/>
  <c r="D60"/>
  <c r="D44" i="1"/>
  <c r="F13" i="3"/>
  <c r="F16" s="1"/>
  <c r="D16"/>
  <c r="P51"/>
  <c r="P53"/>
  <c r="P57"/>
  <c r="P60"/>
  <c r="AI39" i="6"/>
  <c r="AJ22"/>
  <c r="AJ39" s="1"/>
  <c r="AJ56" s="1"/>
  <c r="AK19"/>
  <c r="AI56"/>
  <c r="E44" i="1" l="1"/>
  <c r="E45" s="1"/>
  <c r="E47" s="1"/>
  <c r="E49" s="1"/>
  <c r="D45"/>
  <c r="D47" s="1"/>
  <c r="AL6" i="5"/>
  <c r="R46" i="3"/>
  <c r="V18"/>
  <c r="AC40" i="4"/>
  <c r="AV49" i="3"/>
  <c r="T89" i="5"/>
  <c r="Z47"/>
  <c r="T88"/>
  <c r="AK39" i="6"/>
  <c r="N9" i="3"/>
  <c r="J15"/>
  <c r="J47" s="1"/>
  <c r="J50" s="1"/>
  <c r="R9" l="1"/>
  <c r="N15"/>
  <c r="N47" s="1"/>
  <c r="N50" s="1"/>
  <c r="AF47" i="5"/>
  <c r="Z89"/>
  <c r="Z88"/>
  <c r="V46" i="3"/>
  <c r="Z18"/>
  <c r="AR6" i="5"/>
  <c r="D49" i="1"/>
  <c r="D48"/>
  <c r="J60" i="3"/>
  <c r="AX6" i="5" l="1"/>
  <c r="AD18" i="3"/>
  <c r="Z46"/>
  <c r="AL47" i="5"/>
  <c r="AF89"/>
  <c r="AF88"/>
  <c r="V9" i="3"/>
  <c r="R15"/>
  <c r="R16" l="1"/>
  <c r="R47"/>
  <c r="R50" s="1"/>
  <c r="AR47" i="5"/>
  <c r="AL89"/>
  <c r="AL88"/>
  <c r="AH18" i="3"/>
  <c r="AD46"/>
  <c r="V15"/>
  <c r="V47" s="1"/>
  <c r="V50" s="1"/>
  <c r="Z9"/>
  <c r="BD6" i="5"/>
  <c r="BJ6" l="1"/>
  <c r="AD9" i="3"/>
  <c r="Z15"/>
  <c r="AR89" i="5"/>
  <c r="AX47"/>
  <c r="AR88"/>
  <c r="V53" i="3"/>
  <c r="V57"/>
  <c r="V51"/>
  <c r="AL18"/>
  <c r="AH46"/>
  <c r="AH9" l="1"/>
  <c r="AD15"/>
  <c r="AP18"/>
  <c r="AL46"/>
  <c r="Z55"/>
  <c r="AT55" s="1"/>
  <c r="BD47" i="5"/>
  <c r="AX89"/>
  <c r="AX88"/>
  <c r="Z47" i="3"/>
  <c r="Z50" s="1"/>
  <c r="Z16"/>
  <c r="BP6" i="5"/>
  <c r="BV6" l="1"/>
  <c r="BD89"/>
  <c r="BJ47"/>
  <c r="BD88"/>
  <c r="AT18" i="3"/>
  <c r="AP46"/>
  <c r="AL9"/>
  <c r="AH15"/>
  <c r="Z51"/>
  <c r="AT51" s="1"/>
  <c r="Z57"/>
  <c r="Z53"/>
  <c r="AT53" s="1"/>
  <c r="Z60"/>
  <c r="AD47"/>
  <c r="AD50" s="1"/>
  <c r="AD16"/>
  <c r="AD55" l="1"/>
  <c r="AT57"/>
  <c r="AH47"/>
  <c r="AH50" s="1"/>
  <c r="AH16"/>
  <c r="AD51"/>
  <c r="AD57"/>
  <c r="AD53"/>
  <c r="AP9"/>
  <c r="AL15"/>
  <c r="AU18"/>
  <c r="AT46"/>
  <c r="AV18"/>
  <c r="AV46" s="1"/>
  <c r="BP47" i="5"/>
  <c r="BJ89"/>
  <c r="BJ88"/>
  <c r="BP89" l="1"/>
  <c r="BV47"/>
  <c r="BP88"/>
  <c r="AL47" i="3"/>
  <c r="AL50" s="1"/>
  <c r="AL16"/>
  <c r="AH53"/>
  <c r="AH51"/>
  <c r="AW18"/>
  <c r="AW46" s="1"/>
  <c r="AW47" s="1"/>
  <c r="AW50" s="1"/>
  <c r="AW60" s="1"/>
  <c r="AU46"/>
  <c r="AU47" s="1"/>
  <c r="AU50" s="1"/>
  <c r="AT9"/>
  <c r="AP15"/>
  <c r="AH55"/>
  <c r="AH57" s="1"/>
  <c r="AL55" l="1"/>
  <c r="AP47"/>
  <c r="AP50" s="1"/>
  <c r="AP16"/>
  <c r="AT15"/>
  <c r="AT47" s="1"/>
  <c r="AT50" s="1"/>
  <c r="AT60" s="1"/>
  <c r="AV9"/>
  <c r="AV15" s="1"/>
  <c r="AV47" s="1"/>
  <c r="AV50" s="1"/>
  <c r="AV60" s="1"/>
  <c r="AL53"/>
  <c r="AL57"/>
  <c r="AP55" s="1"/>
  <c r="AV55" s="1"/>
  <c r="AL51"/>
  <c r="BV89" i="5"/>
  <c r="BV88"/>
  <c r="AP51" i="3" l="1"/>
  <c r="AV51" s="1"/>
  <c r="AP57"/>
  <c r="AV57" s="1"/>
  <c r="AP53"/>
  <c r="AV53" s="1"/>
  <c r="G49" i="1"/>
  <c r="G51"/>
  <c r="G29"/>
  <c r="G30"/>
  <c r="G18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<sst xmlns="http://schemas.openxmlformats.org/spreadsheetml/2006/main" count="1007" uniqueCount="517">
  <si>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</si>
  <si>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</si>
  <si>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</si>
  <si>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</si>
  <si>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</si>
  <si>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</si>
  <si>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</si>
  <si>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</si>
  <si>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</si>
  <si>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</si>
  <si>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</si>
  <si>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</si>
  <si>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</si>
  <si>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</si>
  <si>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</si>
  <si>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</si>
  <si>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</si>
  <si>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</si>
  <si>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</si>
  <si>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</si>
  <si>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</si>
  <si>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</si>
  <si>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</si>
  <si>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</si>
  <si>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</si>
  <si>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</si>
  <si>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</si>
  <si>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</si>
  <si>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</si>
  <si>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</si>
  <si>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</si>
  <si>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</si>
  <si>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</si>
  <si>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</si>
  <si>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</si>
  <si>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</si>
  <si>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</si>
  <si>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</si>
  <si>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</si>
  <si>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</si>
  <si>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</si>
  <si>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</si>
  <si>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</si>
  <si>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</si>
  <si>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</si>
  <si>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</si>
  <si>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</si>
  <si>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</si>
  <si>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</si>
  <si>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</si>
  <si>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</si>
  <si>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</si>
  <si>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</si>
  <si>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</si>
  <si>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</si>
  <si>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</si>
  <si>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</si>
  <si>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</si>
  <si>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</si>
  <si>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</si>
  <si>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</si>
  <si>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</si>
  <si>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</si>
  <si>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</si>
  <si>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</si>
  <si>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</si>
  <si>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</si>
  <si>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</si>
  <si>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</si>
  <si>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</si>
  <si>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</si>
  <si>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</si>
  <si>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</si>
  <si>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</si>
  <si>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</si>
  <si>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</si>
  <si>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</si>
  <si>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</si>
  <si>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</si>
  <si>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</si>
  <si>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</si>
  <si>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</si>
  <si>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</si>
  <si>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</si>
  <si>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</si>
  <si>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</si>
  <si>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</si>
  <si>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</si>
  <si>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</si>
  <si>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</si>
  <si>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</si>
  <si>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AS OF 8/31/2013</t>
  </si>
  <si>
    <t>AS OF 9/30/2013</t>
  </si>
  <si>
    <t>AS OF 10/31/2013</t>
  </si>
  <si>
    <t>AS OF 11/30/2013</t>
  </si>
  <si>
    <t>AS OF 12/31/2013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</si>
  <si>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</si>
  <si>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</si>
  <si>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</si>
  <si>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</si>
  <si>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</si>
  <si>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</si>
  <si>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</si>
  <si>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</si>
  <si>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</si>
  <si>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</si>
  <si>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</si>
  <si>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</si>
  <si>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</si>
  <si>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</si>
  <si>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</si>
  <si>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</si>
  <si>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</si>
  <si>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</si>
  <si>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</si>
  <si>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</si>
  <si>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</si>
  <si>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</si>
  <si>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</si>
  <si>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</si>
  <si>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</si>
  <si>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</si>
  <si>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</si>
  <si>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</si>
  <si>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</si>
  <si>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</si>
  <si>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</si>
  <si>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</si>
  <si>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</si>
  <si>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</si>
  <si>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</si>
  <si>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</si>
  <si>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</si>
  <si>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</si>
  <si>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</si>
  <si>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</si>
  <si>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</si>
  <si>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</si>
  <si>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</si>
  <si>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</si>
  <si>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</si>
  <si>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</si>
  <si>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</si>
  <si>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</si>
  <si>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</si>
  <si>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</si>
  <si>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</si>
  <si>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</si>
  <si>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</si>
  <si>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</si>
  <si>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</si>
  <si>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</si>
  <si>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</si>
  <si>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</si>
  <si>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</si>
  <si>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</si>
  <si>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</si>
  <si>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</si>
  <si>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</si>
  <si>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</si>
  <si>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</si>
  <si>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</si>
  <si>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</si>
  <si>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</si>
  <si>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</si>
  <si>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</si>
  <si>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</si>
  <si>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</si>
  <si>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</si>
  <si>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</si>
  <si>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</si>
  <si>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</si>
  <si>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</si>
  <si>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</si>
  <si>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</si>
  <si>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</si>
  <si>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</si>
  <si>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</si>
  <si>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</si>
  <si>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</si>
  <si>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</si>
  <si>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</si>
  <si>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</si>
  <si>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</si>
  <si>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</si>
  <si>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2012 Beg</t>
  </si>
  <si>
    <t>Depreciation</t>
  </si>
  <si>
    <t>Date</t>
  </si>
  <si>
    <t>Cost</t>
  </si>
  <si>
    <t>Acquisition</t>
  </si>
  <si>
    <t>NBV</t>
  </si>
  <si>
    <t>Expense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</si>
  <si>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</si>
  <si>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</si>
  <si>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</si>
  <si>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</si>
  <si>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</si>
  <si>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</si>
  <si>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</si>
  <si>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</si>
  <si>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</si>
  <si>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</si>
  <si>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</si>
  <si>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</si>
  <si>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</si>
  <si>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</si>
  <si>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</si>
  <si>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</si>
  <si>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</si>
  <si>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</si>
  <si>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</si>
  <si>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</si>
  <si>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</si>
  <si>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</si>
  <si>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</si>
  <si>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</si>
  <si>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</si>
  <si>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</si>
  <si>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</si>
  <si>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</si>
  <si>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</si>
  <si>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</si>
  <si>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</si>
  <si>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</si>
  <si>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</si>
  <si>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</si>
  <si>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</si>
  <si>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</si>
  <si>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</si>
  <si>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</si>
  <si>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</si>
  <si>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</si>
  <si>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</si>
  <si>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</si>
  <si>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</si>
  <si>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</si>
  <si>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</si>
  <si>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</si>
  <si>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</si>
  <si>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</si>
  <si>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</si>
  <si>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</si>
  <si>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</si>
  <si>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</si>
  <si>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</si>
  <si>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</si>
  <si>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</si>
  <si>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</si>
  <si>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</si>
  <si>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</si>
  <si>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</si>
  <si>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</si>
  <si>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</si>
  <si>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</si>
  <si>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</si>
  <si>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</si>
  <si>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</si>
  <si>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</si>
  <si>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</si>
  <si>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</si>
  <si>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</si>
  <si>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</si>
  <si>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</si>
  <si>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</si>
  <si>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</si>
  <si>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</si>
  <si>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</si>
  <si>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</si>
  <si>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</si>
  <si>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</si>
  <si>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</si>
  <si>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</si>
  <si>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</si>
  <si>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</si>
  <si>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</si>
  <si>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</si>
  <si>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</si>
  <si>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</si>
  <si>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</si>
  <si>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</si>
  <si>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</si>
  <si>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</si>
  <si>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</si>
  <si>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</si>
  <si>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DVCPA5A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</si>
  <si>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</si>
  <si>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</si>
  <si>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</si>
  <si>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</si>
  <si>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</si>
  <si>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</si>
  <si>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</si>
  <si>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</si>
  <si>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</si>
  <si>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</si>
  <si>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</si>
  <si>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</si>
  <si>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</si>
  <si>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</si>
  <si>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</si>
  <si>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</si>
  <si>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</si>
  <si>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</si>
  <si>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</si>
  <si>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</si>
  <si>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</si>
  <si>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</si>
  <si>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</si>
  <si>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</si>
  <si>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</si>
  <si>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</si>
  <si>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</si>
  <si>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</si>
  <si>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</si>
  <si>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</si>
  <si>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</si>
  <si>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</si>
  <si>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</si>
  <si>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</si>
  <si>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</si>
  <si>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</si>
  <si>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PC OPTION</t>
  </si>
  <si>
    <t>JANUARY</t>
  </si>
  <si>
    <t>FEBRUARY</t>
  </si>
  <si>
    <t>MARCH</t>
  </si>
  <si>
    <t>APRIL</t>
  </si>
  <si>
    <t>As of 7/31/13</t>
  </si>
  <si>
    <t>As of 8/31/13</t>
  </si>
  <si>
    <t>As of 9/30/13</t>
  </si>
  <si>
    <t>As of 10/31/13</t>
  </si>
  <si>
    <t>As of 11/30/13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</si>
  <si>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</si>
  <si>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</si>
  <si>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</si>
  <si>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</si>
  <si>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</si>
  <si>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</si>
  <si>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</si>
  <si>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</si>
  <si>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</si>
  <si>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</si>
  <si>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</si>
  <si>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</si>
  <si>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</si>
  <si>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</si>
  <si>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AS OF 5/31/2013</t>
  </si>
  <si>
    <t>AS OF 6/30/2013</t>
  </si>
  <si>
    <t>AS OF 7/31/2013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</si>
  <si>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</si>
  <si>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</si>
  <si>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</si>
  <si>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</si>
  <si>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</si>
  <si>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</si>
  <si>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</si>
  <si>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</si>
  <si>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</si>
  <si>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</si>
  <si>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</si>
  <si>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</si>
  <si>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</si>
  <si>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</si>
  <si>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</si>
  <si>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</si>
  <si>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</si>
  <si>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</si>
  <si>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</si>
  <si>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</si>
  <si>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</si>
  <si>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</si>
  <si>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</si>
  <si>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t>Brovision</t>
  </si>
  <si>
    <t>Philstar</t>
  </si>
  <si>
    <t>MYLYN B. PIGAO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</si>
  <si>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</si>
  <si>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</si>
  <si>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</si>
  <si>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</si>
  <si>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</si>
  <si>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</si>
  <si>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CAGAYAN APPLIANCE C/O OLIVE FORONDA</t>
  </si>
  <si>
    <t>Tools Box &amp; Equipment</t>
  </si>
  <si>
    <t>Electric Drill and Fold Ladder</t>
  </si>
  <si>
    <t>THE ELECTRONICS BOUTIQUE</t>
  </si>
  <si>
    <t>As of 12/31/13</t>
  </si>
  <si>
    <t>INCOME(LOSS) FROM OPERATIONS</t>
  </si>
  <si>
    <t xml:space="preserve">Electric Drill </t>
  </si>
  <si>
    <t>For the year 2014</t>
  </si>
  <si>
    <t>JANUARY, 2014</t>
  </si>
  <si>
    <t>FOR THE YEAR 2014</t>
  </si>
  <si>
    <t>CIB (BPI Php) - 3531007696</t>
  </si>
  <si>
    <t>As of 2/28/14</t>
  </si>
  <si>
    <t>CASH IN BANK (per BPI Acct. bank balance)</t>
  </si>
  <si>
    <t>Schedule 7</t>
  </si>
  <si>
    <t>AS OF 2/28/2014</t>
  </si>
  <si>
    <t>Other Payable</t>
  </si>
  <si>
    <t>Accountable Forms</t>
  </si>
  <si>
    <t>As of 3/31/14</t>
  </si>
  <si>
    <t>Vat Payable</t>
  </si>
  <si>
    <t>PHILIPPINE REHABILITATION INST. C/O OFELIA LIM</t>
  </si>
  <si>
    <t>As of 4/30/14</t>
  </si>
  <si>
    <t>CRAZY KATSU</t>
  </si>
  <si>
    <t>AS OF 3/31/2014</t>
  </si>
  <si>
    <t>AS OF 4/30/2014</t>
  </si>
  <si>
    <t>Rotary Hammer HR2020</t>
  </si>
  <si>
    <t>As of 5/31/14</t>
  </si>
  <si>
    <t>5362/5462</t>
  </si>
  <si>
    <t>SJS1524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</si>
  <si>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</si>
  <si>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</si>
  <si>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</si>
  <si>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</si>
  <si>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</si>
  <si>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</si>
  <si>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</si>
  <si>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</si>
  <si>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</si>
  <si>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</si>
  <si>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For the year 2015</t>
  </si>
  <si>
    <t>AS OF 1/31/2015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</si>
  <si>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</si>
  <si>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</si>
  <si>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</si>
  <si>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</si>
  <si>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</si>
  <si>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</si>
  <si>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</si>
  <si>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</si>
  <si>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</si>
  <si>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</si>
  <si>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</si>
  <si>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</si>
  <si>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</si>
  <si>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</si>
  <si>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</si>
  <si>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</si>
  <si>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</si>
  <si>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</si>
  <si>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</si>
  <si>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</si>
  <si>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</si>
  <si>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</si>
  <si>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</si>
  <si>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</si>
  <si>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</si>
  <si>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</si>
  <si>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</si>
  <si>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As of January, 2015</t>
  </si>
  <si>
    <t>As of 1/31/15</t>
  </si>
  <si>
    <t>For the  (1) Month ended January 31, 2015</t>
  </si>
  <si>
    <t>January 2015</t>
  </si>
  <si>
    <t>BEGINNING BALANCE - 2014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</si>
  <si>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</si>
  <si>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</si>
  <si>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</si>
  <si>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</si>
  <si>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</si>
  <si>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</si>
  <si>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</si>
  <si>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ETERNAL GARDENS MEM. PARK-CONCEPCION</t>
  </si>
  <si>
    <t>30 days</t>
  </si>
  <si>
    <t>RV MARKETING &amp; EMPIRE CORP</t>
  </si>
  <si>
    <t>45 days</t>
  </si>
  <si>
    <t>BLOSSOMVILLE REALTY &amp; DEV'T CORP</t>
  </si>
  <si>
    <t>SJR</t>
  </si>
  <si>
    <t>PENAFRANCIA MEM. PARK CORP-NAGA</t>
  </si>
  <si>
    <t>SJS</t>
  </si>
  <si>
    <t>ETERNAL GARDENS MEM. PARK-BATANGAS</t>
  </si>
  <si>
    <t>SJS1984</t>
  </si>
  <si>
    <t>GERALD GARCIA</t>
  </si>
  <si>
    <t>PASEO DE MAGALLANES COMMERCIAL CENTER ASSN. INC</t>
  </si>
  <si>
    <t>DAVAO CUSTOM GRAFIX</t>
  </si>
  <si>
    <t>RV EMPIRE INC</t>
  </si>
  <si>
    <t>WEDOBPO</t>
  </si>
  <si>
    <t>CITI APPLIANCE</t>
  </si>
  <si>
    <t>TODD ENGLISH RESTAURANT</t>
  </si>
  <si>
    <t>SJS1737</t>
  </si>
  <si>
    <t>KOLIN PHILS INT'L INC</t>
  </si>
  <si>
    <t>NATIONAL COMMERCIAL</t>
  </si>
  <si>
    <t>EQUILIBRIUM</t>
  </si>
  <si>
    <t>30days</t>
  </si>
  <si>
    <t>DBE PROJECT INC-TOMAS MORATO</t>
  </si>
  <si>
    <t>SJS2243</t>
  </si>
  <si>
    <t>TUTUBAN PROPERTIES INC</t>
  </si>
  <si>
    <t>SJS2248</t>
  </si>
  <si>
    <t>RE MAX TRIP REALTY</t>
  </si>
  <si>
    <t>SJS2261</t>
  </si>
  <si>
    <t>JOSOL MARKETING</t>
  </si>
  <si>
    <t>45days</t>
  </si>
  <si>
    <t>SUNNIES BY CHARLIE</t>
  </si>
  <si>
    <t>CATTLEYA GARDENS CONDOMINIUM CORP</t>
  </si>
  <si>
    <t>VICTORY LAND CORPORATION</t>
  </si>
  <si>
    <t>KOLIN MARKETING INC</t>
  </si>
  <si>
    <t>PASEO DE MAGALLANES COMM INC</t>
  </si>
  <si>
    <t>CSI WAREHOUSE CLUB INC</t>
  </si>
  <si>
    <t>MULTISPORTS INCORPORATED SPEEDO</t>
  </si>
  <si>
    <t>UNIDENTIFIED</t>
  </si>
  <si>
    <t>OTHER RECIEVABLE</t>
  </si>
  <si>
    <t>DIMERCO EXPRESS INC</t>
  </si>
  <si>
    <t>Schedule 8</t>
  </si>
  <si>
    <t>Coop Loan Payable-Kolin</t>
  </si>
  <si>
    <t>CATTLEYA GARDENS COND. CORP</t>
  </si>
  <si>
    <t>DIMDI</t>
  </si>
  <si>
    <t>ANDREW ALIGATO C/O BACOLOD</t>
  </si>
  <si>
    <t>PASEO DE MAGALLANES COMM. CENTER ASSN. INC</t>
  </si>
  <si>
    <t>MARKENBURG INTERNATIONAL</t>
  </si>
  <si>
    <t>MANUEL RAPSING</t>
  </si>
  <si>
    <t>jan</t>
  </si>
  <si>
    <t>CV#891</t>
  </si>
  <si>
    <t>CV#892</t>
  </si>
  <si>
    <t>ARNAIZ</t>
  </si>
  <si>
    <t>PCV#1762</t>
  </si>
  <si>
    <t>Salary Loan Payable-Kolin Appilance Loan</t>
  </si>
  <si>
    <t>2015</t>
  </si>
  <si>
    <t>Year 2015</t>
  </si>
  <si>
    <t>2015 Lapsing Schedule</t>
  </si>
  <si>
    <t>Cash in Bank ( BPI Php - 3531-0076-96)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</si>
</sst>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9" formatCode="_(&quot;Php&quot;* #,##0.00_);_(&quot;Php&quot;* \(#,##0.00\);_(&quot;Php&quot;* &quot;-&quot;??_);_(@_)"/>
    <numFmt numFmtId="174" formatCode="mmmm\ d\,\ yyyy"/>
    <numFmt numFmtId="175" formatCode="_(* #,##0_);_(* \(#,##0\);_(* &quot;-&quot;??_);_(@_)"/>
    <numFmt numFmtId="176" formatCode="_-&quot;$&quot;* #,##0.00_-;\-&quot;$&quot;* #,##0.00_-;_-&quot;$&quot;* &quot;-&quot;??_-;_-@_-"/>
    <numFmt numFmtId="177" formatCode="_-* #,##0.00_-;\-* #,##0.00_-;_-* &quot;-&quot;??_-;_-@_-"/>
    <numFmt numFmtId="178" formatCode="#,##0.000000_);[Red]\(#,##0.000000\)"/>
    <numFmt numFmtId="179" formatCode="_-* #,##0\ &quot;F&quot;_-;\-* #,##0\ &quot;F&quot;_-;_-* &quot;-&quot;\ &quot;F&quot;_-;_-@_-"/>
    <numFmt numFmtId="180" formatCode="#,##0\ &quot;F&quot;;[Red]\-#,##0\ &quot;F&quot;"/>
    <numFmt numFmtId="181" formatCode="#,##0.00\ &quot;F&quot;;[Red]\-#,##0.00\ &quot;F&quot;"/>
    <numFmt numFmtId="182" formatCode="0.00_)"/>
    <numFmt numFmtId="183" formatCode="&quot;$&quot;#,##0;[Red]\-&quot;$&quot;#,##0"/>
    <numFmt numFmtId="186" formatCode="[$-3409]mmmm\ dd\,\ yyyy;@"/>
    <numFmt numFmtId="190" formatCode="mm/dd/yy;@"/>
    <numFmt numFmtId="210" formatCode="#,##0.000_);\(#,##0.000\)"/>
    <numFmt numFmtId="214" formatCode="0;[Red]0"/>
  </numFmts>
  <fonts count="78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9"/>
      <name val="Calibri"/>
      <family val="2"/>
      <charset val="1"/>
    </font>
    <font>
      <sz val="10"/>
      <color indexed="12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77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82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81" fontId="20" fillId="0" borderId="0">
      <alignment horizontal="center"/>
    </xf>
    <xf numFmtId="183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46">
    <xf numFmtId="0" fontId="0" fillId="0" borderId="0" xfId="0"/>
    <xf numFmtId="43" fontId="35" fillId="0" borderId="0" xfId="28" applyFont="1" applyAlignment="1" applyProtection="1">
      <alignment horizontal="center"/>
      <protection hidden="1"/>
    </xf>
    <xf numFmtId="43" fontId="35" fillId="0" borderId="0" xfId="28" applyFont="1" applyAlignment="1" applyProtection="1">
      <protection hidden="1"/>
    </xf>
    <xf numFmtId="43" fontId="34" fillId="0" borderId="0" xfId="28" applyFont="1" applyBorder="1" applyProtection="1">
      <protection hidden="1"/>
    </xf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4" fillId="0" borderId="0" xfId="28" applyFont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75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9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90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43" fontId="44" fillId="0" borderId="0" xfId="28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7" fillId="0" borderId="15" xfId="78" applyFont="1" applyBorder="1" applyProtection="1">
      <protection hidden="1"/>
    </xf>
    <xf numFmtId="43" fontId="7" fillId="0" borderId="15" xfId="78" applyNumberFormat="1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0" fontId="45" fillId="0" borderId="15" xfId="78" applyFont="1" applyBorder="1" applyProtection="1">
      <protection hidden="1"/>
    </xf>
    <xf numFmtId="39" fontId="7" fillId="0" borderId="15" xfId="78" applyNumberFormat="1" applyFont="1" applyBorder="1" applyProtection="1">
      <protection hidden="1"/>
    </xf>
    <xf numFmtId="43" fontId="45" fillId="0" borderId="18" xfId="37" applyFont="1" applyBorder="1" applyProtection="1">
      <protection hidden="1"/>
    </xf>
    <xf numFmtId="39" fontId="45" fillId="0" borderId="18" xfId="78" applyNumberFormat="1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175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74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74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75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75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75" fontId="56" fillId="0" borderId="13" xfId="30" applyNumberFormat="1" applyFont="1" applyFill="1" applyBorder="1" applyAlignment="1" applyProtection="1">
      <alignment horizontal="right"/>
      <protection hidden="1"/>
    </xf>
    <xf numFmtId="175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75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75" fontId="56" fillId="0" borderId="16" xfId="30" applyNumberFormat="1" applyFont="1" applyFill="1" applyBorder="1" applyAlignment="1" applyProtection="1">
      <alignment horizontal="right"/>
      <protection hidden="1"/>
    </xf>
    <xf numFmtId="175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75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75" fontId="56" fillId="0" borderId="18" xfId="30" applyNumberFormat="1" applyFont="1" applyFill="1" applyBorder="1" applyAlignment="1" applyProtection="1">
      <alignment horizontal="right"/>
      <protection hidden="1"/>
    </xf>
    <xf numFmtId="175" fontId="54" fillId="0" borderId="0" xfId="30" applyNumberFormat="1" applyFont="1" applyFill="1" applyBorder="1" applyAlignment="1" applyProtection="1">
      <alignment horizontal="center"/>
      <protection hidden="1"/>
    </xf>
    <xf numFmtId="175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75" fontId="54" fillId="0" borderId="0" xfId="72" applyNumberFormat="1" applyFont="1" applyFill="1" applyBorder="1" applyProtection="1">
      <protection hidden="1"/>
    </xf>
    <xf numFmtId="175" fontId="57" fillId="0" borderId="0" xfId="30" applyNumberFormat="1" applyFont="1" applyFill="1" applyBorder="1" applyAlignment="1" applyProtection="1">
      <alignment horizontal="right"/>
      <protection hidden="1"/>
    </xf>
    <xf numFmtId="175" fontId="58" fillId="0" borderId="0" xfId="30" applyNumberFormat="1" applyFont="1" applyFill="1" applyBorder="1" applyAlignment="1" applyProtection="1">
      <alignment horizontal="right"/>
      <protection hidden="1"/>
    </xf>
    <xf numFmtId="175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9" fontId="47" fillId="0" borderId="0" xfId="86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210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3" fillId="0" borderId="0" xfId="28" applyNumberFormat="1" applyFont="1" applyFill="1" applyAlignment="1" applyProtection="1">
      <alignment horizontal="center"/>
      <protection hidden="1"/>
    </xf>
    <xf numFmtId="43" fontId="43" fillId="0" borderId="0" xfId="28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43" fontId="44" fillId="0" borderId="0" xfId="28" applyFont="1" applyFill="1" applyBorder="1" applyProtection="1">
      <protection hidden="1"/>
    </xf>
    <xf numFmtId="43" fontId="44" fillId="0" borderId="0" xfId="72" applyNumberFormat="1" applyFont="1" applyFill="1" applyAlignment="1" applyProtection="1">
      <alignment horizontal="center"/>
      <protection hidden="1"/>
    </xf>
    <xf numFmtId="39" fontId="44" fillId="0" borderId="0" xfId="32" applyNumberFormat="1" applyFont="1" applyFill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0" applyNumberFormat="1" applyFont="1" applyAlignment="1" applyProtection="1">
      <alignment horizontal="center"/>
      <protection hidden="1"/>
    </xf>
    <xf numFmtId="0" fontId="34" fillId="0" borderId="0" xfId="90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6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74" fontId="66" fillId="0" borderId="0" xfId="72" quotePrefix="1" applyNumberFormat="1" applyFont="1" applyBorder="1" applyAlignment="1" applyProtection="1">
      <alignment horizontal="center"/>
      <protection hidden="1"/>
    </xf>
    <xf numFmtId="174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75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75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75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75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75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Border="1" applyAlignment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76" fillId="0" borderId="0" xfId="28" applyFont="1" applyFill="1" applyBorder="1" applyAlignment="1" applyProtection="1"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9" fontId="34" fillId="0" borderId="0" xfId="86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37" fillId="0" borderId="0" xfId="28" applyFont="1"/>
    <xf numFmtId="0" fontId="7" fillId="0" borderId="13" xfId="0" applyFont="1" applyFill="1" applyBorder="1"/>
    <xf numFmtId="0" fontId="7" fillId="0" borderId="0" xfId="0" applyFont="1" applyFill="1" applyBorder="1" applyAlignment="1">
      <alignment horizontal="center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13" xfId="0" quotePrefix="1" applyFont="1" applyFill="1" applyBorder="1" applyAlignment="1">
      <alignment horizontal="center"/>
    </xf>
    <xf numFmtId="43" fontId="7" fillId="0" borderId="13" xfId="28" quotePrefix="1" applyFont="1" applyFill="1" applyBorder="1"/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34" fillId="0" borderId="0" xfId="86" applyNumberFormat="1" applyFont="1" applyProtection="1">
      <protection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0" fontId="45" fillId="0" borderId="13" xfId="78" applyFont="1" applyBorder="1" applyAlignment="1" applyProtection="1">
      <alignment horizontal="center"/>
      <protection hidden="1"/>
    </xf>
    <xf numFmtId="4" fontId="45" fillId="0" borderId="13" xfId="78" applyNumberFormat="1" applyFont="1" applyBorder="1" applyProtection="1">
      <protection hidden="1"/>
    </xf>
    <xf numFmtId="186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7" fillId="0" borderId="0" xfId="81" applyFont="1" applyFill="1" applyProtection="1">
      <protection hidden="1"/>
    </xf>
    <xf numFmtId="43" fontId="7" fillId="0" borderId="0" xfId="28" applyFont="1" applyAlignment="1" applyProtection="1">
      <alignment horizontal="center"/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214" fontId="7" fillId="0" borderId="0" xfId="78" applyNumberFormat="1" applyFont="1" applyBorder="1" applyProtection="1">
      <protection hidden="1"/>
    </xf>
    <xf numFmtId="214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Protection="1">
      <protection hidden="1"/>
    </xf>
    <xf numFmtId="214" fontId="7" fillId="0" borderId="0" xfId="28" applyNumberFormat="1" applyFont="1" applyAlignment="1" applyProtection="1">
      <alignment horizontal="center"/>
      <protection hidden="1"/>
    </xf>
    <xf numFmtId="43" fontId="7" fillId="0" borderId="0" xfId="28" applyFont="1" applyAlignment="1" applyProtection="1"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174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214" fontId="7" fillId="0" borderId="0" xfId="28" applyNumberFormat="1" applyFont="1" applyFill="1" applyAlignment="1" applyProtection="1">
      <alignment horizontal="center"/>
      <protection hidden="1"/>
    </xf>
    <xf numFmtId="43" fontId="7" fillId="0" borderId="0" xfId="28" applyFont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left"/>
      <protection hidden="1"/>
    </xf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0" fontId="62" fillId="0" borderId="16" xfId="72" applyFont="1" applyBorder="1" applyAlignment="1" applyProtection="1">
      <alignment horizontal="center"/>
      <protection hidden="1"/>
    </xf>
    <xf numFmtId="0" fontId="46" fillId="0" borderId="22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te" xfId="82" builtinId="10" customBuiltin="1"/>
    <cellStyle name="Œ…‹æØ‚è [0.00]_pldt" xfId="83"/>
    <cellStyle name="Œ…‹æØ‚è_pldt" xfId="84"/>
    <cellStyle name="Output" xfId="85" builtinId="21" customBuiltin="1"/>
    <cellStyle name="Percent" xfId="86" builtinId="5"/>
    <cellStyle name="Percent [2]" xfId="87"/>
    <cellStyle name="Percent 2" xfId="88"/>
    <cellStyle name="Percent 3" xfId="89"/>
    <cellStyle name="Percent 4" xfId="90"/>
    <cellStyle name="percentage" xfId="91"/>
    <cellStyle name="QDF" xfId="92"/>
    <cellStyle name="STANDARD" xfId="93"/>
    <cellStyle name="Surrency [0]_laroux" xfId="94"/>
    <cellStyle name="Title" xfId="95" builtinId="15" customBuiltin="1"/>
    <cellStyle name="Total" xfId="96" builtinId="25" customBuiltin="1"/>
    <cellStyle name="Warning Text" xfId="9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ERICK%20TRANGIA/Desktop/BS%202014-DECEMBE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TB (2)"/>
      <sheetName val="BS"/>
      <sheetName val="BS SCHED"/>
      <sheetName val="IS"/>
      <sheetName val="IS SCHED"/>
      <sheetName val="Lapsing"/>
      <sheetName val="C.O.S (2)"/>
    </sheetNames>
    <sheetDataSet>
      <sheetData sheetId="0">
        <row r="15">
          <cell r="BD15">
            <v>0</v>
          </cell>
        </row>
        <row r="16">
          <cell r="BV16">
            <v>151806.57</v>
          </cell>
        </row>
        <row r="34">
          <cell r="BV3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117"/>
  <sheetViews>
    <sheetView zoomScaleNormal="100" workbookViewId="0">
      <pane xSplit="1" ySplit="5" topLeftCell="B63" activePane="bottomRight" state="frozen"/>
      <selection activeCell="A17" sqref="A17"/>
      <selection pane="topRight" activeCell="A17" sqref="A17"/>
      <selection pane="bottomLeft" activeCell="A17" sqref="A17"/>
      <selection pane="bottomRight" activeCell="G89" sqref="G89"/>
    </sheetView>
  </sheetViews>
  <sheetFormatPr defaultRowHeight="12" zeroHeight="1"/>
  <cols>
    <col min="1" max="1" width="28.7109375" style="4" customWidth="1"/>
    <col min="2" max="2" width="12.5703125" style="3" customWidth="1"/>
    <col min="3" max="7" width="11.85546875" style="4" customWidth="1"/>
    <col min="8" max="8" width="12.5703125" style="4" customWidth="1"/>
    <col min="9" max="13" width="11.85546875" style="4" hidden="1" customWidth="1"/>
    <col min="14" max="14" width="12.5703125" style="4" hidden="1" customWidth="1"/>
    <col min="15" max="18" width="11.5703125" style="4" hidden="1" customWidth="1"/>
    <col min="19" max="19" width="12.140625" style="4" hidden="1" customWidth="1"/>
    <col min="20" max="20" width="12.85546875" style="4" hidden="1" customWidth="1"/>
    <col min="21" max="24" width="11.28515625" style="4" hidden="1" customWidth="1"/>
    <col min="25" max="25" width="12.140625" style="4" hidden="1" customWidth="1"/>
    <col min="26" max="26" width="12.5703125" style="4" hidden="1" customWidth="1"/>
    <col min="27" max="27" width="11.140625" style="4" hidden="1" customWidth="1"/>
    <col min="28" max="28" width="12" style="4" hidden="1" customWidth="1"/>
    <col min="29" max="29" width="11.28515625" style="4" hidden="1" customWidth="1"/>
    <col min="30" max="30" width="11.7109375" style="4" hidden="1" customWidth="1"/>
    <col min="31" max="31" width="12.140625" style="4" hidden="1" customWidth="1"/>
    <col min="32" max="32" width="12.5703125" style="4" hidden="1" customWidth="1"/>
    <col min="33" max="35" width="11.28515625" style="4" hidden="1" customWidth="1"/>
    <col min="36" max="36" width="11.7109375" style="5" hidden="1" customWidth="1"/>
    <col min="37" max="37" width="12.140625" style="4" hidden="1" customWidth="1"/>
    <col min="38" max="38" width="12.5703125" style="4" hidden="1" customWidth="1"/>
    <col min="39" max="39" width="11.5703125" style="4" hidden="1" customWidth="1"/>
    <col min="40" max="40" width="10.5703125" style="4" hidden="1" customWidth="1"/>
    <col min="41" max="41" width="10.7109375" style="4" hidden="1" customWidth="1"/>
    <col min="42" max="42" width="11.42578125" style="5" hidden="1" customWidth="1"/>
    <col min="43" max="43" width="11.7109375" style="4" hidden="1" customWidth="1"/>
    <col min="44" max="44" width="12.5703125" style="4" hidden="1" customWidth="1"/>
    <col min="45" max="47" width="11.28515625" style="4" hidden="1" customWidth="1"/>
    <col min="48" max="48" width="11.7109375" style="5" hidden="1" customWidth="1"/>
    <col min="49" max="49" width="12.140625" style="4" hidden="1" customWidth="1"/>
    <col min="50" max="50" width="12.5703125" style="4" hidden="1" customWidth="1"/>
    <col min="51" max="51" width="11.85546875" style="4" hidden="1" customWidth="1"/>
    <col min="52" max="53" width="11.28515625" style="4" hidden="1" customWidth="1"/>
    <col min="54" max="54" width="11.7109375" style="5" hidden="1" customWidth="1"/>
    <col min="55" max="55" width="12.140625" style="4" hidden="1" customWidth="1"/>
    <col min="56" max="56" width="12.5703125" style="4" hidden="1" customWidth="1"/>
    <col min="57" max="57" width="12.140625" style="4" hidden="1" customWidth="1"/>
    <col min="58" max="58" width="12.5703125" style="4" hidden="1" customWidth="1"/>
    <col min="59" max="59" width="11.28515625" style="4" hidden="1" customWidth="1"/>
    <col min="60" max="60" width="11.7109375" style="5" hidden="1" customWidth="1"/>
    <col min="61" max="61" width="12.140625" style="4" hidden="1" customWidth="1"/>
    <col min="62" max="62" width="12.5703125" style="4" hidden="1" customWidth="1"/>
    <col min="63" max="63" width="11.28515625" style="4" hidden="1" customWidth="1"/>
    <col min="64" max="64" width="12.5703125" style="4" hidden="1" customWidth="1"/>
    <col min="65" max="65" width="11.28515625" style="4" hidden="1" customWidth="1"/>
    <col min="66" max="66" width="11.7109375" style="5" hidden="1" customWidth="1"/>
    <col min="67" max="67" width="12.140625" style="4" hidden="1" customWidth="1"/>
    <col min="68" max="68" width="12.5703125" style="4" hidden="1" customWidth="1"/>
    <col min="69" max="71" width="11.28515625" style="4" hidden="1" customWidth="1"/>
    <col min="72" max="72" width="11.7109375" style="5" hidden="1" customWidth="1"/>
    <col min="73" max="73" width="12.140625" style="4" hidden="1" customWidth="1"/>
    <col min="74" max="74" width="12.5703125" style="4" hidden="1" customWidth="1"/>
    <col min="75" max="81" width="9.140625" style="4" hidden="1" customWidth="1"/>
    <col min="82" max="82" width="10.42578125" style="4" hidden="1" customWidth="1"/>
    <col min="83" max="90" width="9.140625" style="4" hidden="1" customWidth="1"/>
    <col min="91" max="91" width="9.85546875" style="4" hidden="1" customWidth="1"/>
    <col min="92" max="101" width="9.140625" style="4" hidden="1" customWidth="1"/>
    <col min="102" max="117" width="0" style="4" hidden="1" customWidth="1"/>
    <col min="118" max="134" width="9.140625" style="4"/>
    <col min="135" max="135" width="9.5703125" style="4" customWidth="1"/>
    <col min="136" max="16384" width="9.140625" style="4"/>
  </cols>
  <sheetData>
    <row r="1" spans="1:74"/>
    <row r="2" spans="1:74">
      <c r="A2" s="2" t="s">
        <v>86</v>
      </c>
      <c r="C2" s="2"/>
      <c r="D2" s="2"/>
      <c r="E2" s="2"/>
      <c r="I2" s="2"/>
      <c r="J2" s="2"/>
      <c r="K2" s="2"/>
      <c r="O2" s="2"/>
      <c r="P2" s="2"/>
      <c r="Q2" s="2"/>
      <c r="U2" s="2"/>
      <c r="V2" s="2"/>
      <c r="W2" s="2"/>
      <c r="AA2" s="2"/>
      <c r="AB2" s="2"/>
      <c r="AC2" s="2"/>
      <c r="AG2" s="2"/>
      <c r="AH2" s="2"/>
      <c r="AI2" s="2"/>
      <c r="AM2" s="2"/>
      <c r="AN2" s="2"/>
      <c r="AO2" s="2"/>
      <c r="AS2" s="2"/>
      <c r="AT2" s="2"/>
      <c r="AU2" s="2"/>
      <c r="AY2" s="2"/>
      <c r="AZ2" s="2"/>
      <c r="BA2" s="2"/>
      <c r="BE2" s="2"/>
      <c r="BF2" s="2"/>
      <c r="BG2" s="2"/>
      <c r="BK2" s="2"/>
      <c r="BL2" s="2"/>
      <c r="BM2" s="2"/>
      <c r="BQ2" s="2"/>
      <c r="BR2" s="2"/>
      <c r="BS2" s="2"/>
    </row>
    <row r="3" spans="1:74">
      <c r="A3" s="2" t="s">
        <v>87</v>
      </c>
      <c r="C3" s="2"/>
      <c r="D3" s="2"/>
      <c r="E3" s="2"/>
      <c r="I3" s="2"/>
      <c r="J3" s="2"/>
      <c r="K3" s="2"/>
      <c r="O3" s="2"/>
      <c r="P3" s="2"/>
      <c r="Q3" s="2"/>
      <c r="U3" s="2"/>
      <c r="V3" s="2"/>
      <c r="W3" s="2"/>
      <c r="AA3" s="2"/>
      <c r="AB3" s="2"/>
      <c r="AC3" s="2"/>
      <c r="AG3" s="2"/>
      <c r="AH3" s="2"/>
      <c r="AI3" s="2"/>
      <c r="AM3" s="2"/>
      <c r="AN3" s="2"/>
      <c r="AO3" s="2"/>
      <c r="AS3" s="2"/>
      <c r="AT3" s="2"/>
      <c r="AU3" s="2"/>
      <c r="AY3" s="2"/>
      <c r="AZ3" s="2"/>
      <c r="BA3" s="2"/>
      <c r="BE3" s="2"/>
      <c r="BF3" s="2"/>
      <c r="BG3" s="2"/>
      <c r="BK3" s="2"/>
      <c r="BL3" s="2"/>
      <c r="BM3" s="2"/>
      <c r="BQ3" s="2"/>
      <c r="BR3" s="2"/>
      <c r="BS3" s="2"/>
    </row>
    <row r="4" spans="1:74">
      <c r="A4" s="2" t="s">
        <v>418</v>
      </c>
      <c r="B4" s="431"/>
      <c r="C4" s="2"/>
      <c r="D4" s="2"/>
      <c r="E4" s="2"/>
      <c r="I4" s="2"/>
      <c r="J4" s="2"/>
      <c r="K4" s="2"/>
      <c r="O4" s="2"/>
      <c r="P4" s="2"/>
      <c r="Q4" s="2"/>
      <c r="U4" s="2"/>
      <c r="V4" s="2"/>
      <c r="W4" s="2"/>
      <c r="AA4" s="2"/>
      <c r="AB4" s="2"/>
      <c r="AC4" s="2"/>
      <c r="AG4" s="2"/>
      <c r="AH4" s="2"/>
      <c r="AI4" s="2"/>
      <c r="AM4" s="2"/>
      <c r="AN4" s="2"/>
      <c r="AO4" s="2"/>
      <c r="AS4" s="2"/>
      <c r="AT4" s="2"/>
      <c r="AU4" s="2"/>
      <c r="AY4" s="2"/>
      <c r="AZ4" s="2"/>
      <c r="BA4" s="2"/>
      <c r="BE4" s="2"/>
      <c r="BF4" s="2"/>
      <c r="BG4" s="2"/>
      <c r="BK4" s="2"/>
      <c r="BL4" s="2"/>
      <c r="BM4" s="2"/>
      <c r="BQ4" s="2"/>
      <c r="BR4" s="2"/>
      <c r="BS4" s="2"/>
    </row>
    <row r="5" spans="1:74" s="6" customFormat="1" ht="24">
      <c r="B5" s="432" t="s">
        <v>331</v>
      </c>
      <c r="C5" s="7" t="s">
        <v>51</v>
      </c>
      <c r="D5" s="7" t="s">
        <v>90</v>
      </c>
      <c r="E5" s="7" t="s">
        <v>88</v>
      </c>
      <c r="F5" s="7" t="s">
        <v>89</v>
      </c>
      <c r="G5" s="7" t="s">
        <v>322</v>
      </c>
      <c r="H5" s="8" t="s">
        <v>419</v>
      </c>
      <c r="I5" s="7" t="s">
        <v>51</v>
      </c>
      <c r="J5" s="7" t="s">
        <v>90</v>
      </c>
      <c r="K5" s="7" t="s">
        <v>88</v>
      </c>
      <c r="L5" s="7" t="s">
        <v>89</v>
      </c>
      <c r="M5" s="7" t="s">
        <v>323</v>
      </c>
      <c r="N5" s="8" t="s">
        <v>394</v>
      </c>
      <c r="O5" s="7" t="s">
        <v>51</v>
      </c>
      <c r="P5" s="7" t="s">
        <v>90</v>
      </c>
      <c r="Q5" s="7" t="s">
        <v>88</v>
      </c>
      <c r="R5" s="7" t="s">
        <v>89</v>
      </c>
      <c r="S5" s="7" t="s">
        <v>324</v>
      </c>
      <c r="T5" s="8" t="s">
        <v>402</v>
      </c>
      <c r="U5" s="7" t="s">
        <v>51</v>
      </c>
      <c r="V5" s="7" t="s">
        <v>90</v>
      </c>
      <c r="W5" s="7" t="s">
        <v>88</v>
      </c>
      <c r="X5" s="7" t="s">
        <v>89</v>
      </c>
      <c r="Y5" s="7" t="s">
        <v>325</v>
      </c>
      <c r="Z5" s="8" t="s">
        <v>403</v>
      </c>
      <c r="AA5" s="7" t="s">
        <v>51</v>
      </c>
      <c r="AB5" s="7" t="s">
        <v>90</v>
      </c>
      <c r="AC5" s="7" t="s">
        <v>88</v>
      </c>
      <c r="AD5" s="7" t="s">
        <v>89</v>
      </c>
      <c r="AE5" s="7" t="s">
        <v>44</v>
      </c>
      <c r="AF5" s="8" t="s">
        <v>345</v>
      </c>
      <c r="AG5" s="7" t="s">
        <v>51</v>
      </c>
      <c r="AH5" s="7" t="s">
        <v>90</v>
      </c>
      <c r="AI5" s="7" t="s">
        <v>88</v>
      </c>
      <c r="AJ5" s="7" t="s">
        <v>89</v>
      </c>
      <c r="AK5" s="7" t="s">
        <v>45</v>
      </c>
      <c r="AL5" s="8" t="s">
        <v>346</v>
      </c>
      <c r="AM5" s="7" t="s">
        <v>51</v>
      </c>
      <c r="AN5" s="7" t="s">
        <v>90</v>
      </c>
      <c r="AO5" s="7" t="s">
        <v>88</v>
      </c>
      <c r="AP5" s="7" t="s">
        <v>89</v>
      </c>
      <c r="AQ5" s="7" t="s">
        <v>46</v>
      </c>
      <c r="AR5" s="8" t="s">
        <v>347</v>
      </c>
      <c r="AS5" s="7" t="s">
        <v>51</v>
      </c>
      <c r="AT5" s="7" t="s">
        <v>90</v>
      </c>
      <c r="AU5" s="7" t="s">
        <v>88</v>
      </c>
      <c r="AV5" s="7" t="s">
        <v>89</v>
      </c>
      <c r="AW5" s="7" t="s">
        <v>47</v>
      </c>
      <c r="AX5" s="8" t="s">
        <v>91</v>
      </c>
      <c r="AY5" s="7" t="s">
        <v>51</v>
      </c>
      <c r="AZ5" s="7" t="s">
        <v>90</v>
      </c>
      <c r="BA5" s="7" t="s">
        <v>88</v>
      </c>
      <c r="BB5" s="7" t="s">
        <v>89</v>
      </c>
      <c r="BC5" s="7" t="s">
        <v>40</v>
      </c>
      <c r="BD5" s="8" t="s">
        <v>92</v>
      </c>
      <c r="BE5" s="7" t="s">
        <v>51</v>
      </c>
      <c r="BF5" s="7" t="s">
        <v>90</v>
      </c>
      <c r="BG5" s="7" t="s">
        <v>88</v>
      </c>
      <c r="BH5" s="7" t="s">
        <v>89</v>
      </c>
      <c r="BI5" s="7" t="s">
        <v>48</v>
      </c>
      <c r="BJ5" s="8" t="s">
        <v>93</v>
      </c>
      <c r="BK5" s="7" t="s">
        <v>51</v>
      </c>
      <c r="BL5" s="7" t="s">
        <v>90</v>
      </c>
      <c r="BM5" s="7" t="s">
        <v>88</v>
      </c>
      <c r="BN5" s="7" t="s">
        <v>89</v>
      </c>
      <c r="BO5" s="7" t="s">
        <v>49</v>
      </c>
      <c r="BP5" s="8" t="s">
        <v>94</v>
      </c>
      <c r="BQ5" s="7" t="s">
        <v>51</v>
      </c>
      <c r="BR5" s="7" t="s">
        <v>90</v>
      </c>
      <c r="BS5" s="7" t="s">
        <v>88</v>
      </c>
      <c r="BT5" s="7" t="s">
        <v>89</v>
      </c>
      <c r="BU5" s="7" t="s">
        <v>50</v>
      </c>
      <c r="BV5" s="8" t="s">
        <v>95</v>
      </c>
    </row>
    <row r="6" spans="1:74" ht="2.25" customHeight="1">
      <c r="B6" s="9">
        <v>0</v>
      </c>
      <c r="D6" s="1"/>
      <c r="E6" s="1"/>
      <c r="G6" s="5"/>
      <c r="H6" s="5"/>
      <c r="J6" s="1"/>
      <c r="K6" s="1"/>
      <c r="M6" s="5">
        <f>SUM(I6:L6)</f>
        <v>0</v>
      </c>
      <c r="N6" s="5">
        <f>B6+M6</f>
        <v>0</v>
      </c>
      <c r="P6" s="1"/>
      <c r="Q6" s="1"/>
      <c r="S6" s="5">
        <f>SUM(O6:R6)</f>
        <v>0</v>
      </c>
      <c r="T6" s="5">
        <f>N6+S6</f>
        <v>0</v>
      </c>
      <c r="V6" s="1"/>
      <c r="W6" s="1"/>
      <c r="Y6" s="5">
        <f>SUM(U6:X6)</f>
        <v>0</v>
      </c>
      <c r="Z6" s="5">
        <f>T6+Y6</f>
        <v>0</v>
      </c>
      <c r="AB6" s="1"/>
      <c r="AC6" s="1"/>
      <c r="AE6" s="5">
        <f>SUM(AA6:AD6)</f>
        <v>0</v>
      </c>
      <c r="AF6" s="5">
        <f>Z6+AE6</f>
        <v>0</v>
      </c>
      <c r="AH6" s="1"/>
      <c r="AI6" s="1"/>
      <c r="AK6" s="5">
        <f>SUM(AG6:AJ6)</f>
        <v>0</v>
      </c>
      <c r="AL6" s="5">
        <f>AF6+AK6</f>
        <v>0</v>
      </c>
      <c r="AN6" s="1"/>
      <c r="AO6" s="1"/>
      <c r="AQ6" s="5">
        <f>SUM(AM6:AP6)</f>
        <v>0</v>
      </c>
      <c r="AR6" s="5">
        <f>AL6+AQ6</f>
        <v>0</v>
      </c>
      <c r="AT6" s="1"/>
      <c r="AU6" s="1"/>
      <c r="AW6" s="5">
        <f t="shared" ref="AW6:AW24" si="0">SUM(AS6:AV6)</f>
        <v>0</v>
      </c>
      <c r="AX6" s="5">
        <f t="shared" ref="AX6:AX22" si="1">AR6+AW6</f>
        <v>0</v>
      </c>
      <c r="AZ6" s="1"/>
      <c r="BA6" s="1"/>
      <c r="BC6" s="5">
        <f t="shared" ref="BC6:BC24" si="2">SUM(AY6:BB6)</f>
        <v>0</v>
      </c>
      <c r="BD6" s="5">
        <f t="shared" ref="BD6:BD22" si="3">AX6+BC6</f>
        <v>0</v>
      </c>
      <c r="BF6" s="1"/>
      <c r="BG6" s="1"/>
      <c r="BI6" s="5">
        <f t="shared" ref="BI6:BI24" si="4">SUM(BE6:BH6)</f>
        <v>0</v>
      </c>
      <c r="BJ6" s="5">
        <f t="shared" ref="BJ6:BJ22" si="5">BD6+BI6</f>
        <v>0</v>
      </c>
      <c r="BL6" s="1"/>
      <c r="BM6" s="1"/>
      <c r="BO6" s="5">
        <f t="shared" ref="BO6:BO24" si="6">SUM(BK6:BN6)</f>
        <v>0</v>
      </c>
      <c r="BP6" s="5">
        <f t="shared" ref="BP6:BP22" si="7">BJ6+BO6</f>
        <v>0</v>
      </c>
      <c r="BR6" s="1"/>
      <c r="BS6" s="1"/>
      <c r="BU6" s="5">
        <f t="shared" ref="BU6:BU24" si="8">SUM(BQ6:BT6)</f>
        <v>0</v>
      </c>
      <c r="BV6" s="5">
        <f t="shared" ref="BV6:BV22" si="9">BP6+BU6</f>
        <v>0</v>
      </c>
    </row>
    <row r="7" spans="1:74">
      <c r="A7" s="4" t="s">
        <v>96</v>
      </c>
      <c r="B7" s="9">
        <v>15000.002142857114</v>
      </c>
      <c r="E7" s="4">
        <v>22608.75</v>
      </c>
      <c r="F7" s="4">
        <v>-22608.75</v>
      </c>
      <c r="G7" s="5">
        <f>SUM(C7:F7)</f>
        <v>0</v>
      </c>
      <c r="H7" s="5">
        <f>B7+G7</f>
        <v>15000.002142857114</v>
      </c>
      <c r="K7" s="5">
        <v>21168.5</v>
      </c>
      <c r="L7" s="4">
        <v>-21168.5</v>
      </c>
      <c r="M7" s="5">
        <f>SUM(I7:L7)</f>
        <v>0</v>
      </c>
      <c r="N7" s="5">
        <f>H7+M7</f>
        <v>15000.002142857114</v>
      </c>
      <c r="Q7" s="4">
        <v>32914.5</v>
      </c>
      <c r="R7" s="4">
        <v>-32914.5</v>
      </c>
      <c r="S7" s="5">
        <f>SUM(O7:R7)</f>
        <v>0</v>
      </c>
      <c r="T7" s="5">
        <f>N7+S7</f>
        <v>15000.002142857114</v>
      </c>
      <c r="W7" s="4">
        <v>25329.75</v>
      </c>
      <c r="X7" s="4">
        <v>-25329.75</v>
      </c>
      <c r="Y7" s="5">
        <f>SUM(U7:X7)</f>
        <v>0</v>
      </c>
      <c r="Z7" s="5">
        <f>T7+Y7</f>
        <v>15000.002142857114</v>
      </c>
      <c r="AC7" s="4">
        <v>31901</v>
      </c>
      <c r="AD7" s="4">
        <v>-31901</v>
      </c>
      <c r="AE7" s="5">
        <f>SUM(AA7:AD7)</f>
        <v>0</v>
      </c>
      <c r="AF7" s="5">
        <f>Z7+AE7</f>
        <v>15000.002142857114</v>
      </c>
      <c r="AK7" s="5">
        <f>SUM(AG7:AJ7)</f>
        <v>0</v>
      </c>
      <c r="AL7" s="5">
        <f>AF7+AK7</f>
        <v>15000.002142857114</v>
      </c>
      <c r="AQ7" s="5">
        <f>SUM(AM7:AP7)</f>
        <v>0</v>
      </c>
      <c r="AR7" s="5">
        <f>AL7+AQ7</f>
        <v>15000.002142857114</v>
      </c>
      <c r="AW7" s="5">
        <f>SUM(AS7:AV7)</f>
        <v>0</v>
      </c>
      <c r="AX7" s="5">
        <f>AR7+AW7</f>
        <v>15000.002142857114</v>
      </c>
      <c r="BC7" s="5">
        <f t="shared" si="2"/>
        <v>0</v>
      </c>
      <c r="BD7" s="5">
        <f t="shared" si="3"/>
        <v>15000.002142857114</v>
      </c>
      <c r="BG7" s="468"/>
      <c r="BI7" s="5">
        <f t="shared" si="4"/>
        <v>0</v>
      </c>
      <c r="BJ7" s="5">
        <f t="shared" si="5"/>
        <v>15000.002142857114</v>
      </c>
      <c r="BO7" s="5">
        <f>SUM(BK7:BN7)</f>
        <v>0</v>
      </c>
      <c r="BP7" s="5">
        <f t="shared" si="7"/>
        <v>15000.002142857114</v>
      </c>
      <c r="BU7" s="5">
        <f>SUM(BQ7:BT7)</f>
        <v>0</v>
      </c>
      <c r="BV7" s="5">
        <f>BP7+BU7</f>
        <v>15000.002142857114</v>
      </c>
    </row>
    <row r="8" spans="1:74">
      <c r="A8" s="4" t="s">
        <v>171</v>
      </c>
      <c r="B8" s="9">
        <v>678805.84</v>
      </c>
      <c r="D8" s="4">
        <f>1050534.14-51780.82</f>
        <v>998753.32</v>
      </c>
      <c r="E8" s="4">
        <f>-477127.24-100+90725.35</f>
        <v>-386501.89</v>
      </c>
      <c r="F8" s="5">
        <f>-602071.62-7673.96</f>
        <v>-609745.57999999996</v>
      </c>
      <c r="G8" s="5">
        <f t="shared" ref="G8:G75" si="10">SUM(C8:F8)</f>
        <v>2505.8499999999767</v>
      </c>
      <c r="H8" s="5">
        <f t="shared" ref="H8:H74" si="11">B8+G8</f>
        <v>681311.69</v>
      </c>
      <c r="J8" s="4">
        <v>929791.02</v>
      </c>
      <c r="K8" s="4">
        <v>-296028.28999999998</v>
      </c>
      <c r="L8" s="4">
        <v>-176884.88</v>
      </c>
      <c r="M8" s="5">
        <f t="shared" ref="M8:M75" si="12">SUM(I8:L8)</f>
        <v>456877.85</v>
      </c>
      <c r="N8" s="5">
        <f t="shared" ref="N8:N75" si="13">H8+M8</f>
        <v>1138189.54</v>
      </c>
      <c r="P8" s="4">
        <v>955030.8</v>
      </c>
      <c r="Q8" s="4">
        <v>-540310.35</v>
      </c>
      <c r="R8" s="4">
        <v>-161375.46</v>
      </c>
      <c r="S8" s="5">
        <f t="shared" ref="S8:S75" si="14">SUM(O8:R8)</f>
        <v>253344.99000000008</v>
      </c>
      <c r="T8" s="5">
        <f t="shared" ref="T8:T75" si="15">N8+S8</f>
        <v>1391534.53</v>
      </c>
      <c r="V8" s="4">
        <v>795576.85</v>
      </c>
      <c r="W8" s="4">
        <v>-405483.01</v>
      </c>
      <c r="X8" s="4">
        <v>-111164.84</v>
      </c>
      <c r="Y8" s="5">
        <f t="shared" ref="Y8:Y75" si="16">SUM(U8:X8)</f>
        <v>278929</v>
      </c>
      <c r="Z8" s="5">
        <f t="shared" ref="Z8:Z75" si="17">T8+Y8</f>
        <v>1670463.53</v>
      </c>
      <c r="AB8" s="4">
        <v>994534.98</v>
      </c>
      <c r="AC8" s="4">
        <v>-534268.67000000004</v>
      </c>
      <c r="AD8" s="4">
        <v>-1909262.92</v>
      </c>
      <c r="AE8" s="5">
        <f t="shared" ref="AE8:AE75" si="18">SUM(AA8:AD8)</f>
        <v>-1448996.6099999999</v>
      </c>
      <c r="AF8" s="5">
        <f t="shared" ref="AF8:AF75" si="19">Z8+AE8</f>
        <v>221466.92000000016</v>
      </c>
      <c r="AK8" s="5">
        <f t="shared" ref="AK8:AK75" si="20">SUM(AG8:AJ8)</f>
        <v>0</v>
      </c>
      <c r="AL8" s="5">
        <f t="shared" ref="AL8:AL75" si="21">AF8+AK8</f>
        <v>221466.92000000016</v>
      </c>
      <c r="AP8" s="436"/>
      <c r="AQ8" s="5">
        <f t="shared" ref="AQ8:AQ75" si="22">SUM(AM8:AP8)</f>
        <v>0</v>
      </c>
      <c r="AR8" s="5">
        <f t="shared" ref="AR8:AR75" si="23">AL8+AQ8</f>
        <v>221466.92000000016</v>
      </c>
      <c r="AW8" s="5">
        <f t="shared" si="0"/>
        <v>0</v>
      </c>
      <c r="AX8" s="5">
        <f t="shared" si="1"/>
        <v>221466.92000000016</v>
      </c>
      <c r="BC8" s="5">
        <f t="shared" si="2"/>
        <v>0</v>
      </c>
      <c r="BD8" s="5">
        <f>AX8+BC8</f>
        <v>221466.92000000016</v>
      </c>
      <c r="BI8" s="5">
        <f t="shared" si="4"/>
        <v>0</v>
      </c>
      <c r="BJ8" s="5">
        <f t="shared" si="5"/>
        <v>221466.92000000016</v>
      </c>
      <c r="BO8" s="5">
        <f t="shared" si="6"/>
        <v>0</v>
      </c>
      <c r="BP8" s="5">
        <f t="shared" si="7"/>
        <v>221466.92000000016</v>
      </c>
      <c r="BU8" s="5">
        <f t="shared" si="8"/>
        <v>0</v>
      </c>
      <c r="BV8" s="5">
        <f t="shared" si="9"/>
        <v>221466.92000000016</v>
      </c>
    </row>
    <row r="9" spans="1:74">
      <c r="A9" s="4" t="s">
        <v>172</v>
      </c>
      <c r="B9" s="9">
        <v>773126.28413044254</v>
      </c>
      <c r="F9" s="4">
        <f>65.47475+447000</f>
        <v>447065.47474999999</v>
      </c>
      <c r="G9" s="5">
        <f t="shared" si="10"/>
        <v>447065.47474999999</v>
      </c>
      <c r="H9" s="5">
        <f t="shared" si="11"/>
        <v>1220191.7588804425</v>
      </c>
      <c r="L9" s="4">
        <v>19.989999999999998</v>
      </c>
      <c r="M9" s="5">
        <f t="shared" si="12"/>
        <v>19.989999999999998</v>
      </c>
      <c r="N9" s="5">
        <f t="shared" si="13"/>
        <v>1220211.7488804425</v>
      </c>
      <c r="R9" s="4">
        <v>33.299999999999997</v>
      </c>
      <c r="S9" s="5">
        <f t="shared" si="14"/>
        <v>33.299999999999997</v>
      </c>
      <c r="T9" s="5">
        <f t="shared" si="15"/>
        <v>1220245.0488804425</v>
      </c>
      <c r="X9" s="4">
        <v>-6625.09512</v>
      </c>
      <c r="Y9" s="5">
        <f t="shared" si="16"/>
        <v>-6625.09512</v>
      </c>
      <c r="Z9" s="5">
        <f t="shared" si="17"/>
        <v>1213619.9537604426</v>
      </c>
      <c r="AD9" s="4">
        <f>456355.1364-160556</f>
        <v>295799.13640000002</v>
      </c>
      <c r="AE9" s="5">
        <f t="shared" si="18"/>
        <v>295799.13640000002</v>
      </c>
      <c r="AF9" s="5">
        <f t="shared" si="19"/>
        <v>1509419.0901604425</v>
      </c>
      <c r="AK9" s="5">
        <f t="shared" si="20"/>
        <v>0</v>
      </c>
      <c r="AL9" s="5">
        <f t="shared" si="21"/>
        <v>1509419.0901604425</v>
      </c>
      <c r="AQ9" s="5">
        <f t="shared" si="22"/>
        <v>0</v>
      </c>
      <c r="AR9" s="5">
        <f t="shared" si="23"/>
        <v>1509419.0901604425</v>
      </c>
      <c r="AW9" s="5">
        <f t="shared" si="0"/>
        <v>0</v>
      </c>
      <c r="AX9" s="5">
        <f t="shared" si="1"/>
        <v>1509419.0901604425</v>
      </c>
      <c r="BC9" s="5">
        <f t="shared" si="2"/>
        <v>0</v>
      </c>
      <c r="BD9" s="5">
        <f t="shared" si="3"/>
        <v>1509419.0901604425</v>
      </c>
      <c r="BI9" s="5">
        <f t="shared" si="4"/>
        <v>0</v>
      </c>
      <c r="BJ9" s="5">
        <f t="shared" si="5"/>
        <v>1509419.0901604425</v>
      </c>
      <c r="BO9" s="5">
        <f t="shared" si="6"/>
        <v>0</v>
      </c>
      <c r="BP9" s="5">
        <f t="shared" si="7"/>
        <v>1509419.0901604425</v>
      </c>
      <c r="BU9" s="5">
        <f t="shared" si="8"/>
        <v>0</v>
      </c>
      <c r="BV9" s="5">
        <f t="shared" si="9"/>
        <v>1509419.0901604425</v>
      </c>
    </row>
    <row r="10" spans="1:74">
      <c r="A10" s="4" t="s">
        <v>390</v>
      </c>
      <c r="B10" s="9">
        <v>116613.67</v>
      </c>
      <c r="D10" s="4">
        <v>51780.82</v>
      </c>
      <c r="E10" s="4">
        <v>-90725.35</v>
      </c>
      <c r="F10" s="4">
        <v>-2520.0700000000002</v>
      </c>
      <c r="G10" s="5">
        <f t="shared" si="10"/>
        <v>-41464.600000000006</v>
      </c>
      <c r="H10" s="5">
        <f t="shared" si="11"/>
        <v>75149.069999999992</v>
      </c>
      <c r="K10" s="4">
        <v>50000</v>
      </c>
      <c r="M10" s="5">
        <f>SUM(I10:L10)</f>
        <v>50000</v>
      </c>
      <c r="N10" s="5">
        <f t="shared" si="13"/>
        <v>125149.06999999999</v>
      </c>
      <c r="S10" s="5">
        <f t="shared" si="14"/>
        <v>0</v>
      </c>
      <c r="T10" s="5">
        <f t="shared" si="15"/>
        <v>125149.06999999999</v>
      </c>
      <c r="V10" s="4">
        <v>10104.719999999999</v>
      </c>
      <c r="X10" s="4">
        <v>6.06</v>
      </c>
      <c r="Y10" s="5">
        <f t="shared" si="16"/>
        <v>10110.779999999999</v>
      </c>
      <c r="Z10" s="5">
        <f t="shared" si="17"/>
        <v>135259.84999999998</v>
      </c>
      <c r="AB10" s="4">
        <v>70188.75</v>
      </c>
      <c r="AE10" s="5">
        <f t="shared" si="18"/>
        <v>70188.75</v>
      </c>
      <c r="AF10" s="5">
        <f t="shared" si="19"/>
        <v>205448.59999999998</v>
      </c>
      <c r="AK10" s="5"/>
      <c r="AL10" s="5">
        <f t="shared" si="21"/>
        <v>205448.59999999998</v>
      </c>
      <c r="AQ10" s="5">
        <f t="shared" si="22"/>
        <v>0</v>
      </c>
      <c r="AR10" s="5">
        <f t="shared" si="23"/>
        <v>205448.59999999998</v>
      </c>
      <c r="AW10" s="5">
        <f t="shared" si="0"/>
        <v>0</v>
      </c>
      <c r="AX10" s="5">
        <f t="shared" si="1"/>
        <v>205448.59999999998</v>
      </c>
      <c r="BC10" s="5">
        <f t="shared" si="2"/>
        <v>0</v>
      </c>
      <c r="BD10" s="5">
        <f t="shared" si="3"/>
        <v>205448.59999999998</v>
      </c>
      <c r="BI10" s="5">
        <f t="shared" si="4"/>
        <v>0</v>
      </c>
      <c r="BJ10" s="5">
        <f t="shared" si="5"/>
        <v>205448.59999999998</v>
      </c>
      <c r="BO10" s="5">
        <f t="shared" si="6"/>
        <v>0</v>
      </c>
      <c r="BP10" s="5">
        <f t="shared" si="7"/>
        <v>205448.59999999998</v>
      </c>
      <c r="BU10" s="5">
        <f t="shared" si="8"/>
        <v>0</v>
      </c>
      <c r="BV10" s="5">
        <f t="shared" si="9"/>
        <v>205448.59999999998</v>
      </c>
    </row>
    <row r="11" spans="1:74">
      <c r="A11" s="4" t="s">
        <v>8</v>
      </c>
      <c r="B11" s="9">
        <v>1966741.06</v>
      </c>
      <c r="C11" s="4">
        <v>765241.79</v>
      </c>
      <c r="D11" s="433">
        <v>-1053570</v>
      </c>
      <c r="F11" s="4">
        <f>32482.63+55405.13</f>
        <v>87887.76</v>
      </c>
      <c r="G11" s="5">
        <f t="shared" si="10"/>
        <v>-200440.44999999995</v>
      </c>
      <c r="H11" s="5">
        <f t="shared" si="11"/>
        <v>1766300.61</v>
      </c>
      <c r="I11" s="4">
        <v>1272280.1499999999</v>
      </c>
      <c r="J11" s="4">
        <f>-935179.21+307.05</f>
        <v>-934872.15999999992</v>
      </c>
      <c r="M11" s="5">
        <f t="shared" si="12"/>
        <v>337407.99</v>
      </c>
      <c r="N11" s="5">
        <f t="shared" si="13"/>
        <v>2103708.6</v>
      </c>
      <c r="O11" s="4">
        <v>1363291.76</v>
      </c>
      <c r="P11" s="433">
        <f>-959730.32+162.88</f>
        <v>-959567.44</v>
      </c>
      <c r="S11" s="5">
        <f t="shared" si="14"/>
        <v>403724.32000000007</v>
      </c>
      <c r="T11" s="5">
        <f t="shared" si="15"/>
        <v>2507432.92</v>
      </c>
      <c r="U11" s="4">
        <v>739528.45</v>
      </c>
      <c r="V11" s="433">
        <v>-817128.37</v>
      </c>
      <c r="X11" s="4">
        <v>-212892.09</v>
      </c>
      <c r="Y11" s="5">
        <f t="shared" si="16"/>
        <v>-290492.01</v>
      </c>
      <c r="Z11" s="5">
        <f t="shared" si="17"/>
        <v>2216940.91</v>
      </c>
      <c r="AA11" s="4">
        <v>653519.04</v>
      </c>
      <c r="AB11" s="433">
        <v>-1069398.26</v>
      </c>
      <c r="AD11" s="4">
        <v>6435.5300000001444</v>
      </c>
      <c r="AE11" s="5">
        <f t="shared" si="18"/>
        <v>-409443.68999999983</v>
      </c>
      <c r="AF11" s="5">
        <f t="shared" si="19"/>
        <v>1807497.2200000002</v>
      </c>
      <c r="AH11" s="433"/>
      <c r="AK11" s="5">
        <f t="shared" si="20"/>
        <v>0</v>
      </c>
      <c r="AL11" s="5">
        <f t="shared" si="21"/>
        <v>1807497.2200000002</v>
      </c>
      <c r="AN11" s="433"/>
      <c r="AQ11" s="5">
        <f t="shared" si="22"/>
        <v>0</v>
      </c>
      <c r="AR11" s="5">
        <f t="shared" si="23"/>
        <v>1807497.2200000002</v>
      </c>
      <c r="AT11" s="10"/>
      <c r="AW11" s="5">
        <f t="shared" si="0"/>
        <v>0</v>
      </c>
      <c r="AX11" s="5">
        <f t="shared" si="1"/>
        <v>1807497.2200000002</v>
      </c>
      <c r="AZ11" s="10"/>
      <c r="BC11" s="5">
        <f t="shared" si="2"/>
        <v>0</v>
      </c>
      <c r="BD11" s="5">
        <f t="shared" si="3"/>
        <v>1807497.2200000002</v>
      </c>
      <c r="BF11" s="10"/>
      <c r="BI11" s="5">
        <f t="shared" si="4"/>
        <v>0</v>
      </c>
      <c r="BJ11" s="5">
        <f t="shared" si="5"/>
        <v>1807497.2200000002</v>
      </c>
      <c r="BL11" s="10"/>
      <c r="BO11" s="5">
        <f t="shared" si="6"/>
        <v>0</v>
      </c>
      <c r="BP11" s="5">
        <f t="shared" si="7"/>
        <v>1807497.2200000002</v>
      </c>
      <c r="BR11" s="10"/>
      <c r="BU11" s="5">
        <f t="shared" si="8"/>
        <v>0</v>
      </c>
      <c r="BV11" s="5">
        <f t="shared" si="9"/>
        <v>1807497.2200000002</v>
      </c>
    </row>
    <row r="12" spans="1:74">
      <c r="A12" s="4" t="s">
        <v>422</v>
      </c>
      <c r="B12" s="9">
        <v>461.16071428571433</v>
      </c>
      <c r="D12" s="433"/>
      <c r="G12" s="5">
        <f>SUM(C12:F12)</f>
        <v>0</v>
      </c>
      <c r="H12" s="5">
        <f>B12+G12</f>
        <v>461.16071428571433</v>
      </c>
      <c r="M12" s="5"/>
      <c r="N12" s="5"/>
      <c r="P12" s="433"/>
      <c r="S12" s="5"/>
      <c r="T12" s="5"/>
      <c r="V12" s="433"/>
      <c r="Y12" s="5"/>
      <c r="Z12" s="5"/>
      <c r="AB12" s="433"/>
      <c r="AE12" s="5"/>
      <c r="AF12" s="5"/>
      <c r="AH12" s="433"/>
      <c r="AK12" s="5"/>
      <c r="AL12" s="5"/>
      <c r="AN12" s="433"/>
      <c r="AQ12" s="5"/>
      <c r="AR12" s="5"/>
      <c r="AT12" s="10"/>
      <c r="AW12" s="5"/>
      <c r="AX12" s="5"/>
      <c r="AZ12" s="10"/>
      <c r="BC12" s="5"/>
      <c r="BD12" s="5"/>
      <c r="BF12" s="10"/>
      <c r="BI12" s="5"/>
      <c r="BJ12" s="5"/>
      <c r="BL12" s="10"/>
      <c r="BO12" s="5"/>
      <c r="BP12" s="5"/>
      <c r="BR12" s="10"/>
      <c r="BU12" s="5"/>
      <c r="BV12" s="5"/>
    </row>
    <row r="13" spans="1:74">
      <c r="A13" s="4" t="s">
        <v>97</v>
      </c>
      <c r="B13" s="9"/>
      <c r="C13" s="5"/>
      <c r="D13" s="5"/>
      <c r="F13" s="5"/>
      <c r="G13" s="5">
        <f t="shared" si="10"/>
        <v>0</v>
      </c>
      <c r="H13" s="5">
        <f t="shared" si="11"/>
        <v>0</v>
      </c>
      <c r="I13" s="5"/>
      <c r="J13" s="5"/>
      <c r="K13" s="4">
        <v>51671.64</v>
      </c>
      <c r="L13" s="5">
        <v>-51671.64</v>
      </c>
      <c r="M13" s="5">
        <f t="shared" si="12"/>
        <v>0</v>
      </c>
      <c r="N13" s="5">
        <f t="shared" si="13"/>
        <v>0</v>
      </c>
      <c r="Q13" s="4">
        <v>51671.64</v>
      </c>
      <c r="R13" s="4">
        <v>-51671.64</v>
      </c>
      <c r="S13" s="5">
        <f t="shared" si="14"/>
        <v>0</v>
      </c>
      <c r="T13" s="5">
        <f t="shared" si="15"/>
        <v>0</v>
      </c>
      <c r="W13" s="4">
        <v>51671.64</v>
      </c>
      <c r="X13" s="4">
        <v>-51671.64</v>
      </c>
      <c r="Y13" s="5">
        <f t="shared" si="16"/>
        <v>0</v>
      </c>
      <c r="Z13" s="5">
        <f t="shared" si="17"/>
        <v>0</v>
      </c>
      <c r="AE13" s="5">
        <f t="shared" si="18"/>
        <v>0</v>
      </c>
      <c r="AF13" s="5">
        <f t="shared" si="19"/>
        <v>0</v>
      </c>
      <c r="AK13" s="5">
        <f t="shared" si="20"/>
        <v>0</v>
      </c>
      <c r="AL13" s="5">
        <f t="shared" si="21"/>
        <v>0</v>
      </c>
      <c r="AQ13" s="5">
        <f t="shared" si="22"/>
        <v>0</v>
      </c>
      <c r="AR13" s="5">
        <f t="shared" si="23"/>
        <v>0</v>
      </c>
      <c r="AW13" s="5">
        <f t="shared" si="0"/>
        <v>0</v>
      </c>
      <c r="AX13" s="5">
        <f t="shared" si="1"/>
        <v>0</v>
      </c>
      <c r="BC13" s="5">
        <f t="shared" si="2"/>
        <v>0</v>
      </c>
      <c r="BD13" s="5">
        <f t="shared" si="3"/>
        <v>0</v>
      </c>
      <c r="BI13" s="5">
        <f t="shared" si="4"/>
        <v>0</v>
      </c>
      <c r="BJ13" s="5">
        <f t="shared" si="5"/>
        <v>0</v>
      </c>
      <c r="BO13" s="5">
        <f t="shared" si="6"/>
        <v>0</v>
      </c>
      <c r="BP13" s="5">
        <f t="shared" si="7"/>
        <v>0</v>
      </c>
      <c r="BU13" s="5">
        <f t="shared" si="8"/>
        <v>0</v>
      </c>
      <c r="BV13" s="5">
        <f t="shared" si="9"/>
        <v>0</v>
      </c>
    </row>
    <row r="14" spans="1:74">
      <c r="A14" s="4" t="s">
        <v>98</v>
      </c>
      <c r="B14" s="9">
        <v>1346.6024999999991</v>
      </c>
      <c r="C14" s="5"/>
      <c r="D14" s="5"/>
      <c r="F14" s="5">
        <v>-213.75</v>
      </c>
      <c r="G14" s="5">
        <f t="shared" si="10"/>
        <v>-213.75</v>
      </c>
      <c r="H14" s="5">
        <f t="shared" si="11"/>
        <v>1132.8524999999991</v>
      </c>
      <c r="I14" s="5"/>
      <c r="J14" s="5"/>
      <c r="K14" s="5"/>
      <c r="L14" s="5"/>
      <c r="M14" s="5">
        <f t="shared" si="12"/>
        <v>0</v>
      </c>
      <c r="N14" s="5">
        <f t="shared" si="13"/>
        <v>1132.8524999999991</v>
      </c>
      <c r="R14" s="5"/>
      <c r="S14" s="5">
        <f t="shared" si="14"/>
        <v>0</v>
      </c>
      <c r="T14" s="5">
        <f t="shared" si="15"/>
        <v>1132.8524999999991</v>
      </c>
      <c r="Y14" s="5">
        <f t="shared" si="16"/>
        <v>0</v>
      </c>
      <c r="Z14" s="5">
        <f t="shared" si="17"/>
        <v>1132.8524999999991</v>
      </c>
      <c r="AC14" s="4">
        <v>2565</v>
      </c>
      <c r="AD14" s="4">
        <v>-1867.25</v>
      </c>
      <c r="AE14" s="5">
        <f t="shared" si="18"/>
        <v>697.75</v>
      </c>
      <c r="AF14" s="5">
        <f t="shared" si="19"/>
        <v>1830.6024999999991</v>
      </c>
      <c r="AK14" s="5">
        <f t="shared" si="20"/>
        <v>0</v>
      </c>
      <c r="AL14" s="5">
        <f t="shared" si="21"/>
        <v>1830.6024999999991</v>
      </c>
      <c r="AQ14" s="5">
        <f t="shared" si="22"/>
        <v>0</v>
      </c>
      <c r="AR14" s="5">
        <f t="shared" si="23"/>
        <v>1830.6024999999991</v>
      </c>
      <c r="AW14" s="5">
        <f t="shared" si="0"/>
        <v>0</v>
      </c>
      <c r="AX14" s="5">
        <f t="shared" si="1"/>
        <v>1830.6024999999991</v>
      </c>
      <c r="BC14" s="5">
        <f t="shared" si="2"/>
        <v>0</v>
      </c>
      <c r="BD14" s="5">
        <f t="shared" si="3"/>
        <v>1830.6024999999991</v>
      </c>
      <c r="BI14" s="5">
        <f t="shared" si="4"/>
        <v>0</v>
      </c>
      <c r="BJ14" s="5">
        <f t="shared" si="5"/>
        <v>1830.6024999999991</v>
      </c>
      <c r="BO14" s="5">
        <f t="shared" si="6"/>
        <v>0</v>
      </c>
      <c r="BP14" s="5">
        <f t="shared" si="7"/>
        <v>1830.6024999999991</v>
      </c>
      <c r="BU14" s="5">
        <f t="shared" si="8"/>
        <v>0</v>
      </c>
      <c r="BV14" s="5">
        <f t="shared" si="9"/>
        <v>1830.6024999999991</v>
      </c>
    </row>
    <row r="15" spans="1:74">
      <c r="A15" s="4" t="s">
        <v>99</v>
      </c>
      <c r="B15" s="9">
        <v>32482.63</v>
      </c>
      <c r="C15" s="5"/>
      <c r="D15" s="5">
        <v>3035.86</v>
      </c>
      <c r="E15" s="5"/>
      <c r="F15" s="5">
        <v>-32482.63</v>
      </c>
      <c r="G15" s="5">
        <f t="shared" si="10"/>
        <v>-29446.77</v>
      </c>
      <c r="H15" s="5">
        <f t="shared" si="11"/>
        <v>3035.8600000000006</v>
      </c>
      <c r="I15" s="5"/>
      <c r="J15" s="4">
        <v>2522.42</v>
      </c>
      <c r="L15" s="5"/>
      <c r="M15" s="5">
        <f t="shared" si="12"/>
        <v>2522.42</v>
      </c>
      <c r="N15" s="5">
        <f t="shared" si="13"/>
        <v>5558.2800000000007</v>
      </c>
      <c r="P15" s="4">
        <v>3179.27</v>
      </c>
      <c r="S15" s="5">
        <f t="shared" si="14"/>
        <v>3179.27</v>
      </c>
      <c r="T15" s="5">
        <f t="shared" si="15"/>
        <v>8737.5500000000011</v>
      </c>
      <c r="V15" s="4">
        <v>3203.04</v>
      </c>
      <c r="Y15" s="5">
        <f t="shared" si="16"/>
        <v>3203.04</v>
      </c>
      <c r="Z15" s="5">
        <f t="shared" si="17"/>
        <v>11940.59</v>
      </c>
      <c r="AB15" s="4">
        <v>4674.53</v>
      </c>
      <c r="AE15" s="5">
        <f t="shared" si="18"/>
        <v>4674.53</v>
      </c>
      <c r="AF15" s="5">
        <f t="shared" si="19"/>
        <v>16615.12</v>
      </c>
      <c r="AK15" s="5">
        <f t="shared" si="20"/>
        <v>0</v>
      </c>
      <c r="AL15" s="5">
        <f t="shared" si="21"/>
        <v>16615.12</v>
      </c>
      <c r="AQ15" s="5">
        <f t="shared" si="22"/>
        <v>0</v>
      </c>
      <c r="AR15" s="5">
        <f t="shared" si="23"/>
        <v>16615.12</v>
      </c>
      <c r="AW15" s="5">
        <f t="shared" si="0"/>
        <v>0</v>
      </c>
      <c r="AX15" s="5">
        <f t="shared" si="1"/>
        <v>16615.12</v>
      </c>
      <c r="BC15" s="5">
        <f t="shared" si="2"/>
        <v>0</v>
      </c>
      <c r="BD15" s="5">
        <f t="shared" si="3"/>
        <v>16615.12</v>
      </c>
      <c r="BI15" s="5">
        <f t="shared" si="4"/>
        <v>0</v>
      </c>
      <c r="BJ15" s="5">
        <f t="shared" si="5"/>
        <v>16615.12</v>
      </c>
      <c r="BO15" s="5">
        <f t="shared" si="6"/>
        <v>0</v>
      </c>
      <c r="BP15" s="5">
        <f t="shared" si="7"/>
        <v>16615.12</v>
      </c>
      <c r="BU15" s="5">
        <f t="shared" si="8"/>
        <v>0</v>
      </c>
      <c r="BV15" s="5">
        <f t="shared" si="9"/>
        <v>16615.12</v>
      </c>
    </row>
    <row r="16" spans="1:74">
      <c r="A16" s="4" t="s">
        <v>311</v>
      </c>
      <c r="B16" s="9"/>
      <c r="C16" s="5"/>
      <c r="D16" s="5"/>
      <c r="E16" s="5"/>
      <c r="F16" s="5"/>
      <c r="G16" s="5">
        <f t="shared" si="10"/>
        <v>0</v>
      </c>
      <c r="H16" s="5">
        <f t="shared" si="11"/>
        <v>0</v>
      </c>
      <c r="I16" s="5"/>
      <c r="J16" s="5"/>
      <c r="L16" s="5"/>
      <c r="M16" s="5">
        <f t="shared" si="12"/>
        <v>0</v>
      </c>
      <c r="N16" s="5">
        <f t="shared" si="13"/>
        <v>0</v>
      </c>
      <c r="S16" s="5">
        <f t="shared" si="14"/>
        <v>0</v>
      </c>
      <c r="T16" s="5">
        <f t="shared" si="15"/>
        <v>0</v>
      </c>
      <c r="Y16" s="5">
        <f t="shared" si="16"/>
        <v>0</v>
      </c>
      <c r="Z16" s="5">
        <f t="shared" si="17"/>
        <v>0</v>
      </c>
      <c r="AE16" s="5">
        <f t="shared" si="18"/>
        <v>0</v>
      </c>
      <c r="AF16" s="5">
        <f t="shared" si="19"/>
        <v>0</v>
      </c>
      <c r="AK16" s="5">
        <f t="shared" si="20"/>
        <v>0</v>
      </c>
      <c r="AL16" s="5">
        <f t="shared" si="21"/>
        <v>0</v>
      </c>
      <c r="AQ16" s="5">
        <f t="shared" si="22"/>
        <v>0</v>
      </c>
      <c r="AR16" s="5">
        <f t="shared" si="23"/>
        <v>0</v>
      </c>
      <c r="AW16" s="5">
        <f t="shared" si="0"/>
        <v>0</v>
      </c>
      <c r="AX16" s="5">
        <f t="shared" si="1"/>
        <v>0</v>
      </c>
      <c r="BC16" s="5">
        <f t="shared" si="2"/>
        <v>0</v>
      </c>
      <c r="BD16" s="5">
        <f t="shared" si="3"/>
        <v>0</v>
      </c>
      <c r="BI16" s="5">
        <f t="shared" si="4"/>
        <v>0</v>
      </c>
      <c r="BJ16" s="5">
        <f t="shared" si="5"/>
        <v>0</v>
      </c>
      <c r="BO16" s="5">
        <f t="shared" si="6"/>
        <v>0</v>
      </c>
      <c r="BP16" s="5">
        <f t="shared" si="7"/>
        <v>0</v>
      </c>
      <c r="BU16" s="5">
        <f t="shared" si="8"/>
        <v>0</v>
      </c>
      <c r="BV16" s="5">
        <f t="shared" si="9"/>
        <v>0</v>
      </c>
    </row>
    <row r="17" spans="1:74" ht="13.5" customHeight="1">
      <c r="A17" s="4" t="s">
        <v>100</v>
      </c>
      <c r="B17" s="9">
        <v>151806.57</v>
      </c>
      <c r="C17" s="5"/>
      <c r="D17" s="5"/>
      <c r="E17" s="5"/>
      <c r="F17" s="5"/>
      <c r="G17" s="5">
        <f t="shared" si="10"/>
        <v>0</v>
      </c>
      <c r="H17" s="5">
        <f t="shared" si="11"/>
        <v>151806.57</v>
      </c>
      <c r="I17" s="5"/>
      <c r="J17" s="5"/>
      <c r="K17" s="5"/>
      <c r="L17" s="5"/>
      <c r="M17" s="5">
        <f t="shared" si="12"/>
        <v>0</v>
      </c>
      <c r="N17" s="5">
        <f t="shared" si="13"/>
        <v>151806.57</v>
      </c>
      <c r="S17" s="5">
        <f t="shared" si="14"/>
        <v>0</v>
      </c>
      <c r="T17" s="5">
        <f t="shared" si="15"/>
        <v>151806.57</v>
      </c>
      <c r="Y17" s="5">
        <f t="shared" si="16"/>
        <v>0</v>
      </c>
      <c r="Z17" s="5">
        <f t="shared" si="17"/>
        <v>151806.57</v>
      </c>
      <c r="AE17" s="5">
        <f t="shared" si="18"/>
        <v>0</v>
      </c>
      <c r="AF17" s="5">
        <f t="shared" si="19"/>
        <v>151806.57</v>
      </c>
      <c r="AG17" s="5"/>
      <c r="AH17" s="5"/>
      <c r="AI17" s="5"/>
      <c r="AK17" s="5">
        <f t="shared" si="20"/>
        <v>0</v>
      </c>
      <c r="AL17" s="5">
        <f t="shared" si="21"/>
        <v>151806.57</v>
      </c>
      <c r="AM17" s="5"/>
      <c r="AN17" s="434"/>
      <c r="AO17" s="5"/>
      <c r="AQ17" s="5">
        <f t="shared" si="22"/>
        <v>0</v>
      </c>
      <c r="AR17" s="5">
        <f t="shared" si="23"/>
        <v>151806.57</v>
      </c>
      <c r="AS17" s="5"/>
      <c r="AT17" s="5"/>
      <c r="AU17" s="5"/>
      <c r="AW17" s="5">
        <f t="shared" si="0"/>
        <v>0</v>
      </c>
      <c r="AX17" s="5">
        <f t="shared" si="1"/>
        <v>151806.57</v>
      </c>
      <c r="AY17" s="5"/>
      <c r="AZ17" s="5"/>
      <c r="BA17" s="5"/>
      <c r="BC17" s="5">
        <f t="shared" si="2"/>
        <v>0</v>
      </c>
      <c r="BD17" s="5">
        <f t="shared" si="3"/>
        <v>151806.57</v>
      </c>
      <c r="BE17" s="5"/>
      <c r="BF17" s="5"/>
      <c r="BG17" s="5"/>
      <c r="BI17" s="5">
        <f t="shared" si="4"/>
        <v>0</v>
      </c>
      <c r="BJ17" s="5">
        <f t="shared" si="5"/>
        <v>151806.57</v>
      </c>
      <c r="BK17" s="5"/>
      <c r="BL17" s="5"/>
      <c r="BM17" s="5"/>
      <c r="BO17" s="5">
        <f t="shared" si="6"/>
        <v>0</v>
      </c>
      <c r="BP17" s="5">
        <f t="shared" si="7"/>
        <v>151806.57</v>
      </c>
      <c r="BQ17" s="5"/>
      <c r="BR17" s="5"/>
      <c r="BS17" s="5"/>
      <c r="BU17" s="5">
        <f t="shared" si="8"/>
        <v>0</v>
      </c>
      <c r="BV17" s="5">
        <f t="shared" si="9"/>
        <v>151806.57</v>
      </c>
    </row>
    <row r="18" spans="1:74" ht="13.5" customHeight="1">
      <c r="A18" s="4" t="s">
        <v>101</v>
      </c>
      <c r="B18" s="9">
        <v>4610640.1913814303</v>
      </c>
      <c r="C18" s="5"/>
      <c r="D18" s="5"/>
      <c r="E18" s="4">
        <v>133860.1</v>
      </c>
      <c r="F18" s="5">
        <v>-385428.31319428602</v>
      </c>
      <c r="G18" s="5">
        <f t="shared" si="10"/>
        <v>-251568.21319428601</v>
      </c>
      <c r="H18" s="5">
        <f t="shared" si="11"/>
        <v>4359071.9781871438</v>
      </c>
      <c r="I18" s="5"/>
      <c r="J18" s="5"/>
      <c r="K18" s="4">
        <v>98660.71</v>
      </c>
      <c r="L18" s="5">
        <v>-650004.01335000002</v>
      </c>
      <c r="M18" s="5">
        <f t="shared" si="12"/>
        <v>-551343.30335000006</v>
      </c>
      <c r="N18" s="5">
        <f t="shared" si="13"/>
        <v>3807728.6748371436</v>
      </c>
      <c r="Q18" s="4">
        <f>323015+10746.4</f>
        <v>333761.40000000002</v>
      </c>
      <c r="R18" s="4">
        <v>-624524.64231999998</v>
      </c>
      <c r="S18" s="5">
        <f t="shared" si="14"/>
        <v>-290763.24231999996</v>
      </c>
      <c r="T18" s="5">
        <f t="shared" si="15"/>
        <v>3516965.4325171439</v>
      </c>
      <c r="W18" s="4">
        <v>62946.43</v>
      </c>
      <c r="X18" s="4">
        <v>-370528.09787</v>
      </c>
      <c r="Y18" s="5">
        <f t="shared" si="16"/>
        <v>-307581.66787</v>
      </c>
      <c r="Z18" s="5">
        <f t="shared" si="17"/>
        <v>3209383.7646471439</v>
      </c>
      <c r="AC18" s="4">
        <v>153318.91</v>
      </c>
      <c r="AD18" s="4">
        <f>983737.87+160111</f>
        <v>1143848.8700000001</v>
      </c>
      <c r="AE18" s="5">
        <f t="shared" si="18"/>
        <v>1297167.78</v>
      </c>
      <c r="AF18" s="5">
        <f t="shared" si="19"/>
        <v>4506551.5446471442</v>
      </c>
      <c r="AI18" s="5"/>
      <c r="AK18" s="5">
        <f t="shared" si="20"/>
        <v>0</v>
      </c>
      <c r="AL18" s="5">
        <f t="shared" si="21"/>
        <v>4506551.5446471442</v>
      </c>
      <c r="AQ18" s="5">
        <f t="shared" si="22"/>
        <v>0</v>
      </c>
      <c r="AR18" s="5">
        <f t="shared" si="23"/>
        <v>4506551.5446471442</v>
      </c>
      <c r="AW18" s="5">
        <f t="shared" si="0"/>
        <v>0</v>
      </c>
      <c r="AX18" s="5">
        <f t="shared" si="1"/>
        <v>4506551.5446471442</v>
      </c>
      <c r="BC18" s="5">
        <f t="shared" si="2"/>
        <v>0</v>
      </c>
      <c r="BD18" s="5">
        <f t="shared" si="3"/>
        <v>4506551.5446471442</v>
      </c>
      <c r="BI18" s="5">
        <f t="shared" si="4"/>
        <v>0</v>
      </c>
      <c r="BJ18" s="5">
        <f t="shared" si="5"/>
        <v>4506551.5446471442</v>
      </c>
      <c r="BO18" s="5">
        <f t="shared" si="6"/>
        <v>0</v>
      </c>
      <c r="BP18" s="5">
        <f t="shared" si="7"/>
        <v>4506551.5446471442</v>
      </c>
      <c r="BU18" s="5">
        <f t="shared" si="8"/>
        <v>0</v>
      </c>
      <c r="BV18" s="5">
        <f t="shared" si="9"/>
        <v>4506551.5446471442</v>
      </c>
    </row>
    <row r="19" spans="1:74">
      <c r="A19" s="4" t="s">
        <v>102</v>
      </c>
      <c r="B19" s="9">
        <v>402780.30785714235</v>
      </c>
      <c r="C19" s="5"/>
      <c r="D19" s="5"/>
      <c r="E19" s="5"/>
      <c r="F19" s="5"/>
      <c r="G19" s="5">
        <f t="shared" si="10"/>
        <v>0</v>
      </c>
      <c r="H19" s="5">
        <f t="shared" si="11"/>
        <v>402780.30785714235</v>
      </c>
      <c r="I19" s="5"/>
      <c r="J19" s="5"/>
      <c r="K19" s="5"/>
      <c r="L19" s="5"/>
      <c r="M19" s="5">
        <f t="shared" si="12"/>
        <v>0</v>
      </c>
      <c r="N19" s="5">
        <f t="shared" si="13"/>
        <v>402780.30785714235</v>
      </c>
      <c r="S19" s="5">
        <f t="shared" si="14"/>
        <v>0</v>
      </c>
      <c r="T19" s="5">
        <f t="shared" si="15"/>
        <v>402780.30785714235</v>
      </c>
      <c r="Y19" s="5">
        <f t="shared" si="16"/>
        <v>0</v>
      </c>
      <c r="Z19" s="5">
        <f t="shared" si="17"/>
        <v>402780.30785714235</v>
      </c>
      <c r="AE19" s="5">
        <f t="shared" si="18"/>
        <v>0</v>
      </c>
      <c r="AF19" s="5">
        <f t="shared" si="19"/>
        <v>402780.30785714235</v>
      </c>
      <c r="AK19" s="5">
        <f t="shared" si="20"/>
        <v>0</v>
      </c>
      <c r="AL19" s="5">
        <f t="shared" si="21"/>
        <v>402780.30785714235</v>
      </c>
      <c r="AQ19" s="5">
        <f t="shared" si="22"/>
        <v>0</v>
      </c>
      <c r="AR19" s="5">
        <f t="shared" si="23"/>
        <v>402780.30785714235</v>
      </c>
      <c r="AW19" s="5">
        <f t="shared" si="0"/>
        <v>0</v>
      </c>
      <c r="AX19" s="5">
        <f t="shared" si="1"/>
        <v>402780.30785714235</v>
      </c>
      <c r="BC19" s="5">
        <f t="shared" si="2"/>
        <v>0</v>
      </c>
      <c r="BD19" s="5">
        <f t="shared" si="3"/>
        <v>402780.30785714235</v>
      </c>
      <c r="BI19" s="5">
        <f t="shared" si="4"/>
        <v>0</v>
      </c>
      <c r="BJ19" s="5">
        <f t="shared" si="5"/>
        <v>402780.30785714235</v>
      </c>
      <c r="BO19" s="5">
        <f t="shared" si="6"/>
        <v>0</v>
      </c>
      <c r="BP19" s="5">
        <f t="shared" si="7"/>
        <v>402780.30785714235</v>
      </c>
      <c r="BU19" s="5">
        <f t="shared" si="8"/>
        <v>0</v>
      </c>
      <c r="BV19" s="5">
        <f t="shared" si="9"/>
        <v>402780.30785714235</v>
      </c>
    </row>
    <row r="20" spans="1:74">
      <c r="A20" s="4" t="s">
        <v>103</v>
      </c>
      <c r="B20" s="9">
        <v>75517.149999999994</v>
      </c>
      <c r="C20" s="5"/>
      <c r="D20" s="5"/>
      <c r="F20" s="5"/>
      <c r="G20" s="5">
        <f t="shared" si="10"/>
        <v>0</v>
      </c>
      <c r="H20" s="5">
        <f t="shared" si="11"/>
        <v>75517.149999999994</v>
      </c>
      <c r="I20" s="5"/>
      <c r="J20" s="5"/>
      <c r="L20" s="5"/>
      <c r="M20" s="5">
        <f t="shared" si="12"/>
        <v>0</v>
      </c>
      <c r="N20" s="5">
        <f t="shared" si="13"/>
        <v>75517.149999999994</v>
      </c>
      <c r="S20" s="5">
        <f t="shared" si="14"/>
        <v>0</v>
      </c>
      <c r="T20" s="5">
        <f t="shared" si="15"/>
        <v>75517.149999999994</v>
      </c>
      <c r="Y20" s="5">
        <f t="shared" si="16"/>
        <v>0</v>
      </c>
      <c r="Z20" s="5">
        <f t="shared" si="17"/>
        <v>75517.149999999994</v>
      </c>
      <c r="AC20" s="4">
        <v>13600</v>
      </c>
      <c r="AE20" s="5">
        <f t="shared" si="18"/>
        <v>13600</v>
      </c>
      <c r="AF20" s="5">
        <f t="shared" si="19"/>
        <v>89117.15</v>
      </c>
      <c r="AK20" s="5">
        <f t="shared" si="20"/>
        <v>0</v>
      </c>
      <c r="AL20" s="5">
        <f t="shared" si="21"/>
        <v>89117.15</v>
      </c>
      <c r="AQ20" s="5">
        <f t="shared" si="22"/>
        <v>0</v>
      </c>
      <c r="AR20" s="5">
        <f t="shared" si="23"/>
        <v>89117.15</v>
      </c>
      <c r="AW20" s="5">
        <f t="shared" si="0"/>
        <v>0</v>
      </c>
      <c r="AX20" s="5">
        <f t="shared" si="1"/>
        <v>89117.15</v>
      </c>
      <c r="BC20" s="5">
        <f t="shared" si="2"/>
        <v>0</v>
      </c>
      <c r="BD20" s="5">
        <f t="shared" si="3"/>
        <v>89117.15</v>
      </c>
      <c r="BI20" s="5">
        <f t="shared" si="4"/>
        <v>0</v>
      </c>
      <c r="BJ20" s="5">
        <f t="shared" si="5"/>
        <v>89117.15</v>
      </c>
      <c r="BO20" s="5">
        <f t="shared" si="6"/>
        <v>0</v>
      </c>
      <c r="BP20" s="5">
        <f t="shared" si="7"/>
        <v>89117.15</v>
      </c>
      <c r="BU20" s="5">
        <f t="shared" si="8"/>
        <v>0</v>
      </c>
      <c r="BV20" s="5">
        <f t="shared" si="9"/>
        <v>89117.15</v>
      </c>
    </row>
    <row r="21" spans="1:74">
      <c r="A21" s="4" t="s">
        <v>104</v>
      </c>
      <c r="B21" s="9">
        <v>329610.77857142861</v>
      </c>
      <c r="C21" s="5"/>
      <c r="D21" s="5"/>
      <c r="E21" s="5"/>
      <c r="F21" s="5"/>
      <c r="G21" s="5">
        <f t="shared" si="10"/>
        <v>0</v>
      </c>
      <c r="H21" s="5">
        <f t="shared" si="11"/>
        <v>329610.77857142861</v>
      </c>
      <c r="I21" s="5"/>
      <c r="J21" s="5"/>
      <c r="K21" s="5"/>
      <c r="L21" s="5"/>
      <c r="M21" s="5">
        <f t="shared" si="12"/>
        <v>0</v>
      </c>
      <c r="N21" s="5">
        <f t="shared" si="13"/>
        <v>329610.77857142861</v>
      </c>
      <c r="S21" s="5">
        <f t="shared" si="14"/>
        <v>0</v>
      </c>
      <c r="T21" s="5">
        <f t="shared" si="15"/>
        <v>329610.77857142861</v>
      </c>
      <c r="Y21" s="5">
        <f t="shared" si="16"/>
        <v>0</v>
      </c>
      <c r="Z21" s="5">
        <f t="shared" si="17"/>
        <v>329610.77857142861</v>
      </c>
      <c r="AE21" s="5">
        <f t="shared" si="18"/>
        <v>0</v>
      </c>
      <c r="AF21" s="5">
        <f t="shared" si="19"/>
        <v>329610.77857142861</v>
      </c>
      <c r="AG21" s="5"/>
      <c r="AH21" s="5"/>
      <c r="AI21" s="5"/>
      <c r="AK21" s="5">
        <f t="shared" si="20"/>
        <v>0</v>
      </c>
      <c r="AL21" s="5">
        <f t="shared" si="21"/>
        <v>329610.77857142861</v>
      </c>
      <c r="AM21" s="5"/>
      <c r="AN21" s="5"/>
      <c r="AO21" s="5"/>
      <c r="AQ21" s="5">
        <f t="shared" si="22"/>
        <v>0</v>
      </c>
      <c r="AR21" s="5">
        <f t="shared" si="23"/>
        <v>329610.77857142861</v>
      </c>
      <c r="AS21" s="5"/>
      <c r="AT21" s="5"/>
      <c r="AU21" s="5"/>
      <c r="AW21" s="5">
        <f t="shared" si="0"/>
        <v>0</v>
      </c>
      <c r="AX21" s="5">
        <f t="shared" si="1"/>
        <v>329610.77857142861</v>
      </c>
      <c r="AY21" s="5"/>
      <c r="AZ21" s="5"/>
      <c r="BA21" s="5"/>
      <c r="BC21" s="5">
        <f t="shared" si="2"/>
        <v>0</v>
      </c>
      <c r="BD21" s="5">
        <f t="shared" si="3"/>
        <v>329610.77857142861</v>
      </c>
      <c r="BE21" s="5"/>
      <c r="BF21" s="5"/>
      <c r="BG21" s="5"/>
      <c r="BI21" s="5">
        <f t="shared" si="4"/>
        <v>0</v>
      </c>
      <c r="BJ21" s="5">
        <f t="shared" si="5"/>
        <v>329610.77857142861</v>
      </c>
      <c r="BK21" s="5"/>
      <c r="BL21" s="5"/>
      <c r="BM21" s="5"/>
      <c r="BO21" s="5">
        <f t="shared" si="6"/>
        <v>0</v>
      </c>
      <c r="BP21" s="5">
        <f t="shared" si="7"/>
        <v>329610.77857142861</v>
      </c>
      <c r="BQ21" s="5"/>
      <c r="BR21" s="5"/>
      <c r="BS21" s="5"/>
      <c r="BU21" s="5">
        <f t="shared" si="8"/>
        <v>0</v>
      </c>
      <c r="BV21" s="5">
        <f t="shared" si="9"/>
        <v>329610.77857142861</v>
      </c>
    </row>
    <row r="22" spans="1:74">
      <c r="A22" s="4" t="s">
        <v>106</v>
      </c>
      <c r="B22" s="9">
        <v>-601165.88765872596</v>
      </c>
      <c r="C22" s="5"/>
      <c r="D22" s="5"/>
      <c r="E22" s="5"/>
      <c r="F22" s="5">
        <v>-13488.5300833333</v>
      </c>
      <c r="G22" s="5">
        <f t="shared" si="10"/>
        <v>-13488.5300833333</v>
      </c>
      <c r="H22" s="5">
        <f t="shared" si="11"/>
        <v>-614654.41774205922</v>
      </c>
      <c r="I22" s="5"/>
      <c r="J22" s="5"/>
      <c r="K22" s="5"/>
      <c r="L22" s="5">
        <v>-21460.61</v>
      </c>
      <c r="M22" s="5">
        <f t="shared" si="12"/>
        <v>-21460.61</v>
      </c>
      <c r="N22" s="5">
        <f t="shared" si="13"/>
        <v>-636115.0277420592</v>
      </c>
      <c r="R22" s="4">
        <v>-21460.61</v>
      </c>
      <c r="S22" s="5">
        <f t="shared" si="14"/>
        <v>-21460.61</v>
      </c>
      <c r="T22" s="5">
        <f t="shared" si="15"/>
        <v>-657575.63774205919</v>
      </c>
      <c r="X22" s="4">
        <v>-21460.61</v>
      </c>
      <c r="Y22" s="5">
        <f t="shared" si="16"/>
        <v>-21460.61</v>
      </c>
      <c r="Z22" s="5">
        <f t="shared" si="17"/>
        <v>-679036.24774205917</v>
      </c>
      <c r="AD22" s="4">
        <f>-20824.46-636.14</f>
        <v>-21460.6</v>
      </c>
      <c r="AE22" s="5">
        <f t="shared" si="18"/>
        <v>-21460.6</v>
      </c>
      <c r="AF22" s="5">
        <f t="shared" si="19"/>
        <v>-700496.84774205915</v>
      </c>
      <c r="AK22" s="5">
        <f t="shared" si="20"/>
        <v>0</v>
      </c>
      <c r="AL22" s="5">
        <f t="shared" si="21"/>
        <v>-700496.84774205915</v>
      </c>
      <c r="AQ22" s="5">
        <f t="shared" si="22"/>
        <v>0</v>
      </c>
      <c r="AR22" s="5">
        <f t="shared" si="23"/>
        <v>-700496.84774205915</v>
      </c>
      <c r="AW22" s="5">
        <f t="shared" si="0"/>
        <v>0</v>
      </c>
      <c r="AX22" s="5">
        <f t="shared" si="1"/>
        <v>-700496.84774205915</v>
      </c>
      <c r="BC22" s="5">
        <f t="shared" si="2"/>
        <v>0</v>
      </c>
      <c r="BD22" s="5">
        <f t="shared" si="3"/>
        <v>-700496.84774205915</v>
      </c>
      <c r="BI22" s="5">
        <f t="shared" si="4"/>
        <v>0</v>
      </c>
      <c r="BJ22" s="5">
        <f t="shared" si="5"/>
        <v>-700496.84774205915</v>
      </c>
      <c r="BO22" s="5">
        <f t="shared" si="6"/>
        <v>0</v>
      </c>
      <c r="BP22" s="5">
        <f t="shared" si="7"/>
        <v>-700496.84774205915</v>
      </c>
      <c r="BU22" s="5">
        <f t="shared" si="8"/>
        <v>0</v>
      </c>
      <c r="BV22" s="5">
        <f t="shared" si="9"/>
        <v>-700496.84774205915</v>
      </c>
    </row>
    <row r="23" spans="1:74">
      <c r="A23" s="4" t="s">
        <v>105</v>
      </c>
      <c r="B23" s="9">
        <v>69759.56</v>
      </c>
      <c r="C23" s="5"/>
      <c r="D23" s="5"/>
      <c r="E23" s="5"/>
      <c r="F23" s="5"/>
      <c r="G23" s="5">
        <f t="shared" si="10"/>
        <v>0</v>
      </c>
      <c r="H23" s="5">
        <f t="shared" si="11"/>
        <v>69759.56</v>
      </c>
      <c r="I23" s="5"/>
      <c r="J23" s="5"/>
      <c r="K23" s="5"/>
      <c r="M23" s="5">
        <f t="shared" si="12"/>
        <v>0</v>
      </c>
      <c r="N23" s="5">
        <f t="shared" si="13"/>
        <v>69759.56</v>
      </c>
      <c r="S23" s="5">
        <f t="shared" si="14"/>
        <v>0</v>
      </c>
      <c r="T23" s="5">
        <f t="shared" si="15"/>
        <v>69759.56</v>
      </c>
      <c r="Y23" s="5">
        <f t="shared" si="16"/>
        <v>0</v>
      </c>
      <c r="Z23" s="5">
        <f t="shared" si="17"/>
        <v>69759.56</v>
      </c>
      <c r="AE23" s="5">
        <f t="shared" si="18"/>
        <v>0</v>
      </c>
      <c r="AF23" s="5">
        <f t="shared" si="19"/>
        <v>69759.56</v>
      </c>
      <c r="AG23" s="5"/>
      <c r="AH23" s="5"/>
      <c r="AI23" s="5"/>
      <c r="AK23" s="5">
        <f t="shared" si="20"/>
        <v>0</v>
      </c>
      <c r="AL23" s="5">
        <f t="shared" si="21"/>
        <v>69759.56</v>
      </c>
      <c r="AM23" s="5"/>
      <c r="AN23" s="5"/>
      <c r="AO23" s="5"/>
      <c r="AQ23" s="5">
        <f t="shared" si="22"/>
        <v>0</v>
      </c>
      <c r="AR23" s="5">
        <f t="shared" si="23"/>
        <v>69759.56</v>
      </c>
      <c r="AS23" s="5"/>
      <c r="AT23" s="5"/>
      <c r="AU23" s="5"/>
      <c r="AW23" s="5">
        <f t="shared" si="0"/>
        <v>0</v>
      </c>
      <c r="AX23" s="5">
        <f>AR23+AW23</f>
        <v>69759.56</v>
      </c>
      <c r="AY23" s="5"/>
      <c r="AZ23" s="5"/>
      <c r="BA23" s="5"/>
      <c r="BC23" s="5">
        <f t="shared" si="2"/>
        <v>0</v>
      </c>
      <c r="BD23" s="5">
        <f>AX23+BC23</f>
        <v>69759.56</v>
      </c>
      <c r="BE23" s="5"/>
      <c r="BF23" s="5"/>
      <c r="BG23" s="5"/>
      <c r="BI23" s="5">
        <f t="shared" si="4"/>
        <v>0</v>
      </c>
      <c r="BJ23" s="5">
        <f>BD23+BI23</f>
        <v>69759.56</v>
      </c>
      <c r="BK23" s="5"/>
      <c r="BL23" s="5"/>
      <c r="BM23" s="5"/>
      <c r="BO23" s="5">
        <f t="shared" si="6"/>
        <v>0</v>
      </c>
      <c r="BP23" s="5">
        <f>BJ23+BO23</f>
        <v>69759.56</v>
      </c>
      <c r="BQ23" s="5"/>
      <c r="BR23" s="5"/>
      <c r="BS23" s="5"/>
      <c r="BU23" s="5">
        <f t="shared" si="8"/>
        <v>0</v>
      </c>
      <c r="BV23" s="5">
        <f>BP23+BU23</f>
        <v>69759.56</v>
      </c>
    </row>
    <row r="24" spans="1:74">
      <c r="A24" s="4" t="s">
        <v>319</v>
      </c>
      <c r="B24" s="9">
        <v>-58213.076815476103</v>
      </c>
      <c r="C24" s="5"/>
      <c r="D24" s="5"/>
      <c r="E24" s="5"/>
      <c r="F24" s="5">
        <v>-1162.65930357143</v>
      </c>
      <c r="G24" s="5">
        <f t="shared" si="10"/>
        <v>-1162.65930357143</v>
      </c>
      <c r="H24" s="5">
        <f>B24+G24</f>
        <v>-59375.736119047535</v>
      </c>
      <c r="I24" s="5"/>
      <c r="J24" s="5"/>
      <c r="K24" s="5"/>
      <c r="L24" s="5">
        <v>-1937.77</v>
      </c>
      <c r="M24" s="5">
        <f t="shared" si="12"/>
        <v>-1937.77</v>
      </c>
      <c r="N24" s="5">
        <f t="shared" si="13"/>
        <v>-61313.506119047532</v>
      </c>
      <c r="R24" s="4">
        <v>-1937.76550595238</v>
      </c>
      <c r="S24" s="5">
        <f t="shared" si="14"/>
        <v>-1937.76550595238</v>
      </c>
      <c r="T24" s="5">
        <f t="shared" si="15"/>
        <v>-63251.271624999914</v>
      </c>
      <c r="X24" s="4">
        <v>-1937.77</v>
      </c>
      <c r="Y24" s="5">
        <f t="shared" si="16"/>
        <v>-1937.77</v>
      </c>
      <c r="Z24" s="5">
        <f t="shared" si="17"/>
        <v>-65189.041624999911</v>
      </c>
      <c r="AD24" s="4">
        <v>-1937.77</v>
      </c>
      <c r="AE24" s="5">
        <f t="shared" si="18"/>
        <v>-1937.77</v>
      </c>
      <c r="AF24" s="5">
        <f t="shared" si="19"/>
        <v>-67126.811624999915</v>
      </c>
      <c r="AG24" s="5"/>
      <c r="AH24" s="5"/>
      <c r="AI24" s="5"/>
      <c r="AK24" s="5">
        <f t="shared" si="20"/>
        <v>0</v>
      </c>
      <c r="AL24" s="5">
        <f t="shared" si="21"/>
        <v>-67126.811624999915</v>
      </c>
      <c r="AM24" s="5"/>
      <c r="AN24" s="5"/>
      <c r="AO24" s="5"/>
      <c r="AQ24" s="5">
        <f t="shared" si="22"/>
        <v>0</v>
      </c>
      <c r="AR24" s="5">
        <f t="shared" si="23"/>
        <v>-67126.811624999915</v>
      </c>
      <c r="AS24" s="5"/>
      <c r="AT24" s="5"/>
      <c r="AU24" s="5"/>
      <c r="AW24" s="5">
        <f t="shared" si="0"/>
        <v>0</v>
      </c>
      <c r="AX24" s="5">
        <f>AR24+AW24</f>
        <v>-67126.811624999915</v>
      </c>
      <c r="AY24" s="5"/>
      <c r="AZ24" s="5"/>
      <c r="BA24" s="5"/>
      <c r="BC24" s="5">
        <f t="shared" si="2"/>
        <v>0</v>
      </c>
      <c r="BD24" s="5">
        <f>AX24+BC24</f>
        <v>-67126.811624999915</v>
      </c>
      <c r="BE24" s="5"/>
      <c r="BF24" s="5"/>
      <c r="BG24" s="5"/>
      <c r="BI24" s="5">
        <f t="shared" si="4"/>
        <v>0</v>
      </c>
      <c r="BJ24" s="5">
        <f>BD24+BI24</f>
        <v>-67126.811624999915</v>
      </c>
      <c r="BK24" s="5"/>
      <c r="BL24" s="5"/>
      <c r="BM24" s="5"/>
      <c r="BO24" s="5">
        <f t="shared" si="6"/>
        <v>0</v>
      </c>
      <c r="BP24" s="5">
        <f>BJ24+BO24</f>
        <v>-67126.811624999915</v>
      </c>
      <c r="BQ24" s="5"/>
      <c r="BR24" s="5"/>
      <c r="BS24" s="5"/>
      <c r="BU24" s="5">
        <f t="shared" si="8"/>
        <v>0</v>
      </c>
      <c r="BV24" s="5">
        <f>BP24+BU24</f>
        <v>-67126.811624999915</v>
      </c>
    </row>
    <row r="25" spans="1:74">
      <c r="A25" s="4" t="s">
        <v>332</v>
      </c>
      <c r="B25" s="9"/>
      <c r="C25" s="5"/>
      <c r="D25" s="5"/>
      <c r="G25" s="5">
        <f t="shared" si="10"/>
        <v>0</v>
      </c>
      <c r="H25" s="5">
        <f t="shared" si="11"/>
        <v>0</v>
      </c>
      <c r="I25" s="5"/>
      <c r="J25" s="5"/>
      <c r="M25" s="5">
        <f t="shared" si="12"/>
        <v>0</v>
      </c>
      <c r="N25" s="5">
        <f t="shared" si="13"/>
        <v>0</v>
      </c>
      <c r="S25" s="5">
        <f t="shared" si="14"/>
        <v>0</v>
      </c>
      <c r="T25" s="5">
        <f t="shared" si="15"/>
        <v>0</v>
      </c>
      <c r="Y25" s="5">
        <f t="shared" si="16"/>
        <v>0</v>
      </c>
      <c r="Z25" s="5">
        <f t="shared" si="17"/>
        <v>0</v>
      </c>
      <c r="AC25" s="3"/>
      <c r="AE25" s="5">
        <f t="shared" si="18"/>
        <v>0</v>
      </c>
      <c r="AF25" s="5">
        <f t="shared" si="19"/>
        <v>0</v>
      </c>
      <c r="AK25" s="5">
        <f t="shared" si="20"/>
        <v>0</v>
      </c>
      <c r="AL25" s="5">
        <f t="shared" si="21"/>
        <v>0</v>
      </c>
      <c r="AQ25" s="5">
        <f t="shared" si="22"/>
        <v>0</v>
      </c>
      <c r="AR25" s="5">
        <f t="shared" si="23"/>
        <v>0</v>
      </c>
      <c r="AW25" s="5">
        <f t="shared" ref="AW25:AW46" si="24">SUM(AS25:AV25)</f>
        <v>0</v>
      </c>
      <c r="AX25" s="5">
        <f t="shared" ref="AX25:AX64" si="25">AR25+AW25</f>
        <v>0</v>
      </c>
      <c r="BC25" s="5">
        <f t="shared" ref="BC25:BC46" si="26">SUM(AY25:BB25)</f>
        <v>0</v>
      </c>
      <c r="BD25" s="5">
        <f t="shared" ref="BD25:BD66" si="27">AX25+BC25</f>
        <v>0</v>
      </c>
      <c r="BI25" s="5">
        <f t="shared" ref="BI25:BI46" si="28">SUM(BE25:BH25)</f>
        <v>0</v>
      </c>
      <c r="BJ25" s="5">
        <f t="shared" ref="BJ25:BJ66" si="29">BD25+BI25</f>
        <v>0</v>
      </c>
      <c r="BO25" s="5">
        <f t="shared" ref="BO25:BO46" si="30">SUM(BK25:BN25)</f>
        <v>0</v>
      </c>
      <c r="BP25" s="5">
        <f t="shared" ref="BP25:BP66" si="31">BJ25+BO25</f>
        <v>0</v>
      </c>
      <c r="BU25" s="5">
        <f t="shared" ref="BU25:BU46" si="32">SUM(BQ25:BT25)</f>
        <v>0</v>
      </c>
      <c r="BV25" s="5">
        <f t="shared" ref="BV25:BV66" si="33">BP25+BU25</f>
        <v>0</v>
      </c>
    </row>
    <row r="26" spans="1:74" ht="3" customHeight="1">
      <c r="B26" s="9"/>
      <c r="C26" s="5"/>
      <c r="D26" s="5"/>
      <c r="F26" s="5"/>
      <c r="G26" s="5">
        <f t="shared" si="10"/>
        <v>0</v>
      </c>
      <c r="H26" s="5">
        <f t="shared" si="11"/>
        <v>0</v>
      </c>
      <c r="I26" s="5"/>
      <c r="J26" s="5"/>
      <c r="L26" s="5"/>
      <c r="M26" s="5">
        <f t="shared" si="12"/>
        <v>0</v>
      </c>
      <c r="N26" s="5">
        <f t="shared" si="13"/>
        <v>0</v>
      </c>
      <c r="S26" s="5">
        <f t="shared" si="14"/>
        <v>0</v>
      </c>
      <c r="T26" s="5">
        <f t="shared" si="15"/>
        <v>0</v>
      </c>
      <c r="Y26" s="5">
        <f t="shared" si="16"/>
        <v>0</v>
      </c>
      <c r="Z26" s="5">
        <f t="shared" si="17"/>
        <v>0</v>
      </c>
      <c r="AE26" s="5">
        <f t="shared" si="18"/>
        <v>0</v>
      </c>
      <c r="AF26" s="5">
        <f t="shared" si="19"/>
        <v>0</v>
      </c>
      <c r="AK26" s="5">
        <f t="shared" si="20"/>
        <v>0</v>
      </c>
      <c r="AL26" s="5">
        <f t="shared" si="21"/>
        <v>0</v>
      </c>
      <c r="AQ26" s="5">
        <f t="shared" si="22"/>
        <v>0</v>
      </c>
      <c r="AR26" s="5">
        <f t="shared" si="23"/>
        <v>0</v>
      </c>
      <c r="AW26" s="5">
        <f t="shared" si="24"/>
        <v>0</v>
      </c>
      <c r="AX26" s="5">
        <f t="shared" si="25"/>
        <v>0</v>
      </c>
      <c r="BC26" s="5">
        <f t="shared" si="26"/>
        <v>0</v>
      </c>
      <c r="BD26" s="5">
        <f t="shared" si="27"/>
        <v>0</v>
      </c>
      <c r="BI26" s="5">
        <f t="shared" si="28"/>
        <v>0</v>
      </c>
      <c r="BJ26" s="5">
        <f t="shared" si="29"/>
        <v>0</v>
      </c>
      <c r="BO26" s="5">
        <f t="shared" si="30"/>
        <v>0</v>
      </c>
      <c r="BP26" s="5">
        <f t="shared" si="31"/>
        <v>0</v>
      </c>
      <c r="BU26" s="5">
        <f t="shared" si="32"/>
        <v>0</v>
      </c>
      <c r="BV26" s="5">
        <f t="shared" si="33"/>
        <v>0</v>
      </c>
    </row>
    <row r="27" spans="1:74">
      <c r="A27" s="4" t="s">
        <v>108</v>
      </c>
      <c r="B27" s="9">
        <v>-267213.23</v>
      </c>
      <c r="E27" s="4">
        <v>2000</v>
      </c>
      <c r="F27" s="4">
        <f>-2000</f>
        <v>-2000</v>
      </c>
      <c r="G27" s="5">
        <f t="shared" si="10"/>
        <v>0</v>
      </c>
      <c r="H27" s="5">
        <f t="shared" si="11"/>
        <v>-267213.23</v>
      </c>
      <c r="K27" s="4">
        <v>-2590.9699999999998</v>
      </c>
      <c r="L27" s="3">
        <v>2590.9699999999998</v>
      </c>
      <c r="M27" s="5">
        <f t="shared" si="12"/>
        <v>0</v>
      </c>
      <c r="N27" s="5">
        <f t="shared" si="13"/>
        <v>-267213.23</v>
      </c>
      <c r="Q27" s="4">
        <f>2590.97-11670.58</f>
        <v>-9079.61</v>
      </c>
      <c r="R27" s="4">
        <v>-2590.9699999999998</v>
      </c>
      <c r="S27" s="5">
        <f t="shared" si="14"/>
        <v>-11670.58</v>
      </c>
      <c r="T27" s="5">
        <f t="shared" si="15"/>
        <v>-278883.81</v>
      </c>
      <c r="X27" s="4">
        <v>-1800</v>
      </c>
      <c r="Y27" s="5">
        <f t="shared" si="16"/>
        <v>-1800</v>
      </c>
      <c r="Z27" s="5">
        <f t="shared" si="17"/>
        <v>-280683.81</v>
      </c>
      <c r="AE27" s="5">
        <f t="shared" si="18"/>
        <v>0</v>
      </c>
      <c r="AF27" s="5">
        <f t="shared" si="19"/>
        <v>-280683.81</v>
      </c>
      <c r="AK27" s="5">
        <f t="shared" si="20"/>
        <v>0</v>
      </c>
      <c r="AL27" s="5">
        <f t="shared" si="21"/>
        <v>-280683.81</v>
      </c>
      <c r="AQ27" s="5">
        <f t="shared" si="22"/>
        <v>0</v>
      </c>
      <c r="AR27" s="5">
        <f t="shared" si="23"/>
        <v>-280683.81</v>
      </c>
      <c r="AW27" s="5">
        <f t="shared" si="24"/>
        <v>0</v>
      </c>
      <c r="AX27" s="5">
        <f t="shared" si="25"/>
        <v>-280683.81</v>
      </c>
      <c r="BB27" s="461"/>
      <c r="BC27" s="5">
        <f t="shared" si="26"/>
        <v>0</v>
      </c>
      <c r="BD27" s="5">
        <f t="shared" si="27"/>
        <v>-280683.81</v>
      </c>
      <c r="BI27" s="5">
        <f t="shared" si="28"/>
        <v>0</v>
      </c>
      <c r="BJ27" s="5">
        <f t="shared" si="29"/>
        <v>-280683.81</v>
      </c>
      <c r="BO27" s="5">
        <f t="shared" si="30"/>
        <v>0</v>
      </c>
      <c r="BP27" s="5">
        <f t="shared" si="31"/>
        <v>-280683.81</v>
      </c>
      <c r="BU27" s="5">
        <f t="shared" si="32"/>
        <v>0</v>
      </c>
      <c r="BV27" s="5">
        <f t="shared" si="33"/>
        <v>-280683.81</v>
      </c>
    </row>
    <row r="28" spans="1:74">
      <c r="A28" s="4" t="s">
        <v>109</v>
      </c>
      <c r="B28" s="9"/>
      <c r="C28" s="5"/>
      <c r="D28" s="5"/>
      <c r="E28" s="5"/>
      <c r="F28" s="5"/>
      <c r="G28" s="5">
        <f t="shared" si="10"/>
        <v>0</v>
      </c>
      <c r="H28" s="5">
        <f t="shared" si="11"/>
        <v>0</v>
      </c>
      <c r="J28" s="5"/>
      <c r="K28" s="5">
        <v>8000</v>
      </c>
      <c r="L28" s="5">
        <v>-8000</v>
      </c>
      <c r="M28" s="5">
        <f t="shared" si="12"/>
        <v>0</v>
      </c>
      <c r="N28" s="5">
        <f t="shared" si="13"/>
        <v>0</v>
      </c>
      <c r="Q28" s="4">
        <v>8000</v>
      </c>
      <c r="R28" s="4">
        <v>-8000</v>
      </c>
      <c r="S28" s="5">
        <f t="shared" si="14"/>
        <v>0</v>
      </c>
      <c r="T28" s="5">
        <f t="shared" si="15"/>
        <v>0</v>
      </c>
      <c r="W28" s="4">
        <v>26000</v>
      </c>
      <c r="X28" s="4">
        <v>-26000</v>
      </c>
      <c r="Y28" s="5">
        <f t="shared" si="16"/>
        <v>0</v>
      </c>
      <c r="Z28" s="5">
        <f t="shared" si="17"/>
        <v>0</v>
      </c>
      <c r="AC28" s="4">
        <v>8000</v>
      </c>
      <c r="AE28" s="5">
        <f t="shared" si="18"/>
        <v>8000</v>
      </c>
      <c r="AF28" s="5">
        <f t="shared" si="19"/>
        <v>8000</v>
      </c>
      <c r="AK28" s="5">
        <f t="shared" si="20"/>
        <v>0</v>
      </c>
      <c r="AL28" s="5">
        <f t="shared" si="21"/>
        <v>8000</v>
      </c>
      <c r="AQ28" s="5">
        <f t="shared" si="22"/>
        <v>0</v>
      </c>
      <c r="AR28" s="5">
        <f t="shared" si="23"/>
        <v>8000</v>
      </c>
      <c r="AW28" s="5">
        <f t="shared" si="24"/>
        <v>0</v>
      </c>
      <c r="AX28" s="5">
        <f t="shared" si="25"/>
        <v>8000</v>
      </c>
      <c r="BC28" s="5">
        <f t="shared" si="26"/>
        <v>0</v>
      </c>
      <c r="BD28" s="5">
        <f t="shared" si="27"/>
        <v>8000</v>
      </c>
      <c r="BI28" s="5">
        <f t="shared" si="28"/>
        <v>0</v>
      </c>
      <c r="BJ28" s="5">
        <f t="shared" si="29"/>
        <v>8000</v>
      </c>
      <c r="BO28" s="5">
        <f t="shared" si="30"/>
        <v>0</v>
      </c>
      <c r="BP28" s="5">
        <f t="shared" si="31"/>
        <v>8000</v>
      </c>
      <c r="BU28" s="5">
        <f t="shared" si="32"/>
        <v>0</v>
      </c>
      <c r="BV28" s="5">
        <f t="shared" si="33"/>
        <v>8000</v>
      </c>
    </row>
    <row r="29" spans="1:74">
      <c r="A29" s="4" t="s">
        <v>110</v>
      </c>
      <c r="B29" s="9">
        <v>-15730</v>
      </c>
      <c r="D29" s="5"/>
      <c r="E29" s="5">
        <v>15730</v>
      </c>
      <c r="F29" s="4">
        <v>-14712.5</v>
      </c>
      <c r="G29" s="5">
        <f t="shared" si="10"/>
        <v>1017.5</v>
      </c>
      <c r="H29" s="5">
        <f t="shared" si="11"/>
        <v>-14712.5</v>
      </c>
      <c r="I29" s="5"/>
      <c r="K29" s="5">
        <v>5177.3999999999996</v>
      </c>
      <c r="L29" s="5">
        <v>-5159.3</v>
      </c>
      <c r="M29" s="5">
        <f t="shared" si="12"/>
        <v>18.099999999999454</v>
      </c>
      <c r="N29" s="5">
        <f t="shared" si="13"/>
        <v>-14694.400000000001</v>
      </c>
      <c r="Q29" s="4">
        <v>5159.3</v>
      </c>
      <c r="R29" s="4">
        <v>-5013.8999999999996</v>
      </c>
      <c r="S29" s="5">
        <f t="shared" si="14"/>
        <v>145.40000000000055</v>
      </c>
      <c r="T29" s="5">
        <f t="shared" si="15"/>
        <v>-14549</v>
      </c>
      <c r="W29" s="4">
        <v>5013.8999999999996</v>
      </c>
      <c r="X29" s="4">
        <v>-5286.5</v>
      </c>
      <c r="Y29" s="5">
        <f t="shared" si="16"/>
        <v>-272.60000000000036</v>
      </c>
      <c r="Z29" s="5">
        <f t="shared" si="17"/>
        <v>-14821.6</v>
      </c>
      <c r="AC29" s="4">
        <v>5286.5</v>
      </c>
      <c r="AD29" s="4">
        <v>-5068.5</v>
      </c>
      <c r="AE29" s="5">
        <f t="shared" si="18"/>
        <v>218</v>
      </c>
      <c r="AF29" s="5">
        <f t="shared" si="19"/>
        <v>-14603.6</v>
      </c>
      <c r="AK29" s="5">
        <f t="shared" si="20"/>
        <v>0</v>
      </c>
      <c r="AL29" s="5">
        <f t="shared" si="21"/>
        <v>-14603.6</v>
      </c>
      <c r="AQ29" s="5">
        <f t="shared" si="22"/>
        <v>0</v>
      </c>
      <c r="AR29" s="5">
        <f t="shared" si="23"/>
        <v>-14603.6</v>
      </c>
      <c r="AW29" s="5">
        <f t="shared" si="24"/>
        <v>0</v>
      </c>
      <c r="AX29" s="5">
        <f t="shared" si="25"/>
        <v>-14603.6</v>
      </c>
      <c r="BC29" s="5">
        <f t="shared" si="26"/>
        <v>0</v>
      </c>
      <c r="BD29" s="5">
        <f t="shared" si="27"/>
        <v>-14603.6</v>
      </c>
      <c r="BI29" s="5">
        <f t="shared" si="28"/>
        <v>0</v>
      </c>
      <c r="BJ29" s="5">
        <f t="shared" si="29"/>
        <v>-14603.6</v>
      </c>
      <c r="BO29" s="5">
        <f t="shared" si="30"/>
        <v>0</v>
      </c>
      <c r="BP29" s="5">
        <f t="shared" si="31"/>
        <v>-14603.6</v>
      </c>
      <c r="BU29" s="5">
        <f t="shared" si="32"/>
        <v>0</v>
      </c>
      <c r="BV29" s="5">
        <f t="shared" si="33"/>
        <v>-14603.6</v>
      </c>
    </row>
    <row r="30" spans="1:74">
      <c r="A30" s="4" t="s">
        <v>111</v>
      </c>
      <c r="B30" s="9">
        <v>-3375</v>
      </c>
      <c r="D30" s="5"/>
      <c r="E30" s="4">
        <v>3375</v>
      </c>
      <c r="F30" s="4">
        <v>-3075</v>
      </c>
      <c r="G30" s="5">
        <f t="shared" si="10"/>
        <v>300</v>
      </c>
      <c r="H30" s="5">
        <f t="shared" si="11"/>
        <v>-3075</v>
      </c>
      <c r="I30" s="5"/>
      <c r="K30" s="5">
        <v>1712.5</v>
      </c>
      <c r="L30" s="4">
        <v>-1700</v>
      </c>
      <c r="M30" s="5">
        <f t="shared" si="12"/>
        <v>12.5</v>
      </c>
      <c r="N30" s="5">
        <f t="shared" si="13"/>
        <v>-3062.5</v>
      </c>
      <c r="Q30" s="3">
        <v>1700</v>
      </c>
      <c r="R30" s="4">
        <v>-1650</v>
      </c>
      <c r="S30" s="5">
        <f t="shared" si="14"/>
        <v>50</v>
      </c>
      <c r="T30" s="5">
        <f t="shared" si="15"/>
        <v>-3012.5</v>
      </c>
      <c r="W30" s="4">
        <v>1650</v>
      </c>
      <c r="X30" s="4">
        <v>-1775</v>
      </c>
      <c r="Y30" s="5">
        <f t="shared" si="16"/>
        <v>-125</v>
      </c>
      <c r="Z30" s="5">
        <f t="shared" si="17"/>
        <v>-3137.5</v>
      </c>
      <c r="AC30" s="3">
        <v>1775</v>
      </c>
      <c r="AD30" s="4">
        <v>-1775</v>
      </c>
      <c r="AE30" s="5">
        <f t="shared" si="18"/>
        <v>0</v>
      </c>
      <c r="AF30" s="5">
        <f t="shared" si="19"/>
        <v>-3137.5</v>
      </c>
      <c r="AI30" s="3"/>
      <c r="AK30" s="5">
        <f t="shared" si="20"/>
        <v>0</v>
      </c>
      <c r="AL30" s="5">
        <f t="shared" si="21"/>
        <v>-3137.5</v>
      </c>
      <c r="AO30" s="3"/>
      <c r="AQ30" s="5">
        <f t="shared" si="22"/>
        <v>0</v>
      </c>
      <c r="AR30" s="5">
        <f t="shared" si="23"/>
        <v>-3137.5</v>
      </c>
      <c r="AU30" s="3"/>
      <c r="AW30" s="5">
        <f t="shared" si="24"/>
        <v>0</v>
      </c>
      <c r="AX30" s="5">
        <f t="shared" si="25"/>
        <v>-3137.5</v>
      </c>
      <c r="BA30" s="3"/>
      <c r="BC30" s="5">
        <f t="shared" si="26"/>
        <v>0</v>
      </c>
      <c r="BD30" s="5">
        <f t="shared" si="27"/>
        <v>-3137.5</v>
      </c>
      <c r="BG30" s="3"/>
      <c r="BI30" s="5">
        <f t="shared" si="28"/>
        <v>0</v>
      </c>
      <c r="BJ30" s="5">
        <f t="shared" si="29"/>
        <v>-3137.5</v>
      </c>
      <c r="BM30" s="3"/>
      <c r="BO30" s="5">
        <f t="shared" si="30"/>
        <v>0</v>
      </c>
      <c r="BP30" s="5">
        <f t="shared" si="31"/>
        <v>-3137.5</v>
      </c>
      <c r="BS30" s="3"/>
      <c r="BU30" s="5">
        <f t="shared" si="32"/>
        <v>0</v>
      </c>
      <c r="BV30" s="5">
        <f t="shared" si="33"/>
        <v>-3137.5</v>
      </c>
    </row>
    <row r="31" spans="1:74">
      <c r="A31" s="4" t="s">
        <v>112</v>
      </c>
      <c r="B31" s="9">
        <v>-2200</v>
      </c>
      <c r="D31" s="5"/>
      <c r="E31" s="5">
        <v>2200</v>
      </c>
      <c r="F31" s="4">
        <v>-2100</v>
      </c>
      <c r="G31" s="5">
        <f t="shared" si="10"/>
        <v>100</v>
      </c>
      <c r="H31" s="5">
        <f t="shared" si="11"/>
        <v>-2100</v>
      </c>
      <c r="I31" s="5"/>
      <c r="K31" s="4">
        <v>1100</v>
      </c>
      <c r="L31" s="5">
        <v>-1100</v>
      </c>
      <c r="M31" s="5">
        <f t="shared" si="12"/>
        <v>0</v>
      </c>
      <c r="N31" s="5">
        <f t="shared" si="13"/>
        <v>-2100</v>
      </c>
      <c r="Q31" s="4">
        <v>1100</v>
      </c>
      <c r="R31" s="4">
        <v>-1100</v>
      </c>
      <c r="S31" s="5">
        <f t="shared" si="14"/>
        <v>0</v>
      </c>
      <c r="T31" s="5">
        <f t="shared" si="15"/>
        <v>-2100</v>
      </c>
      <c r="W31" s="4">
        <v>1100</v>
      </c>
      <c r="X31" s="4">
        <v>-1100</v>
      </c>
      <c r="Y31" s="5">
        <f t="shared" si="16"/>
        <v>0</v>
      </c>
      <c r="Z31" s="5">
        <f t="shared" si="17"/>
        <v>-2100</v>
      </c>
      <c r="AC31" s="4">
        <v>1100</v>
      </c>
      <c r="AD31" s="4">
        <v>-1100</v>
      </c>
      <c r="AE31" s="5">
        <f t="shared" si="18"/>
        <v>0</v>
      </c>
      <c r="AF31" s="5">
        <f t="shared" si="19"/>
        <v>-2100</v>
      </c>
      <c r="AI31" s="3"/>
      <c r="AK31" s="5">
        <f t="shared" si="20"/>
        <v>0</v>
      </c>
      <c r="AL31" s="5">
        <f t="shared" si="21"/>
        <v>-2100</v>
      </c>
      <c r="AO31" s="3"/>
      <c r="AQ31" s="5">
        <f t="shared" si="22"/>
        <v>0</v>
      </c>
      <c r="AR31" s="5">
        <f t="shared" si="23"/>
        <v>-2100</v>
      </c>
      <c r="AU31" s="3"/>
      <c r="AW31" s="5">
        <f t="shared" si="24"/>
        <v>0</v>
      </c>
      <c r="AX31" s="5">
        <f t="shared" si="25"/>
        <v>-2100</v>
      </c>
      <c r="BA31" s="3"/>
      <c r="BC31" s="5">
        <f t="shared" si="26"/>
        <v>0</v>
      </c>
      <c r="BD31" s="5">
        <f t="shared" si="27"/>
        <v>-2100</v>
      </c>
      <c r="BG31" s="3"/>
      <c r="BI31" s="5">
        <f t="shared" si="28"/>
        <v>0</v>
      </c>
      <c r="BJ31" s="5">
        <f t="shared" si="29"/>
        <v>-2100</v>
      </c>
      <c r="BM31" s="3"/>
      <c r="BO31" s="5">
        <f t="shared" si="30"/>
        <v>0</v>
      </c>
      <c r="BP31" s="5">
        <f t="shared" si="31"/>
        <v>-2100</v>
      </c>
      <c r="BS31" s="3"/>
      <c r="BU31" s="5">
        <f t="shared" si="32"/>
        <v>0</v>
      </c>
      <c r="BV31" s="5">
        <f t="shared" si="33"/>
        <v>-2100</v>
      </c>
    </row>
    <row r="32" spans="1:74">
      <c r="A32" s="4" t="s">
        <v>113</v>
      </c>
      <c r="B32" s="9">
        <v>-2422.605</v>
      </c>
      <c r="C32" s="5"/>
      <c r="D32" s="5"/>
      <c r="E32" s="5">
        <v>2422.61</v>
      </c>
      <c r="F32" s="5">
        <v>-2422.61</v>
      </c>
      <c r="G32" s="5">
        <f t="shared" si="10"/>
        <v>0</v>
      </c>
      <c r="H32" s="5">
        <f t="shared" si="11"/>
        <v>-2422.605</v>
      </c>
      <c r="I32" s="5"/>
      <c r="K32" s="4">
        <v>2422.61</v>
      </c>
      <c r="L32" s="4">
        <v>-2422.61</v>
      </c>
      <c r="M32" s="5">
        <f t="shared" si="12"/>
        <v>0</v>
      </c>
      <c r="N32" s="5">
        <f t="shared" si="13"/>
        <v>-2422.605</v>
      </c>
      <c r="Q32" s="3">
        <v>2422.61</v>
      </c>
      <c r="R32" s="4">
        <v>-2422.61</v>
      </c>
      <c r="S32" s="5">
        <f t="shared" si="14"/>
        <v>0</v>
      </c>
      <c r="T32" s="5">
        <f t="shared" si="15"/>
        <v>-2422.605</v>
      </c>
      <c r="W32" s="4">
        <v>2422.61</v>
      </c>
      <c r="X32" s="4">
        <v>-2422.61</v>
      </c>
      <c r="Y32" s="5">
        <f t="shared" si="16"/>
        <v>0</v>
      </c>
      <c r="Z32" s="5">
        <f t="shared" si="17"/>
        <v>-2422.605</v>
      </c>
      <c r="AC32" s="4">
        <v>2422.61</v>
      </c>
      <c r="AD32" s="4">
        <v>-2422.61</v>
      </c>
      <c r="AE32" s="5">
        <f t="shared" si="18"/>
        <v>0</v>
      </c>
      <c r="AF32" s="5">
        <f t="shared" si="19"/>
        <v>-2422.605</v>
      </c>
      <c r="AK32" s="5">
        <f t="shared" si="20"/>
        <v>0</v>
      </c>
      <c r="AL32" s="5">
        <f t="shared" si="21"/>
        <v>-2422.605</v>
      </c>
      <c r="AQ32" s="5">
        <f t="shared" si="22"/>
        <v>0</v>
      </c>
      <c r="AR32" s="5">
        <f t="shared" si="23"/>
        <v>-2422.605</v>
      </c>
      <c r="AW32" s="5">
        <f t="shared" si="24"/>
        <v>0</v>
      </c>
      <c r="AX32" s="5">
        <f t="shared" si="25"/>
        <v>-2422.605</v>
      </c>
      <c r="BC32" s="5">
        <f t="shared" si="26"/>
        <v>0</v>
      </c>
      <c r="BD32" s="5">
        <f t="shared" si="27"/>
        <v>-2422.605</v>
      </c>
      <c r="BI32" s="5">
        <f t="shared" si="28"/>
        <v>0</v>
      </c>
      <c r="BJ32" s="5">
        <f t="shared" si="29"/>
        <v>-2422.605</v>
      </c>
      <c r="BO32" s="5">
        <f t="shared" si="30"/>
        <v>0</v>
      </c>
      <c r="BP32" s="5">
        <f t="shared" si="31"/>
        <v>-2422.605</v>
      </c>
      <c r="BU32" s="5">
        <f t="shared" si="32"/>
        <v>0</v>
      </c>
      <c r="BV32" s="5">
        <f t="shared" si="33"/>
        <v>-2422.605</v>
      </c>
    </row>
    <row r="33" spans="1:74">
      <c r="A33" s="4" t="s">
        <v>114</v>
      </c>
      <c r="B33" s="9">
        <v>-986.11</v>
      </c>
      <c r="C33" s="5"/>
      <c r="E33" s="5">
        <v>986.11</v>
      </c>
      <c r="F33" s="4">
        <v>-986.11</v>
      </c>
      <c r="G33" s="5">
        <f t="shared" si="10"/>
        <v>0</v>
      </c>
      <c r="H33" s="5">
        <f t="shared" si="11"/>
        <v>-986.11</v>
      </c>
      <c r="I33" s="5"/>
      <c r="J33" s="5"/>
      <c r="K33" s="5">
        <v>604.87</v>
      </c>
      <c r="L33" s="4">
        <v>-604.88</v>
      </c>
      <c r="M33" s="5">
        <f t="shared" si="12"/>
        <v>-9.9999999999909051E-3</v>
      </c>
      <c r="N33" s="5">
        <f t="shared" si="13"/>
        <v>-986.12</v>
      </c>
      <c r="Q33" s="4">
        <v>604.87</v>
      </c>
      <c r="R33" s="4">
        <v>-604.87</v>
      </c>
      <c r="S33" s="5">
        <f t="shared" si="14"/>
        <v>0</v>
      </c>
      <c r="T33" s="5">
        <f t="shared" si="15"/>
        <v>-986.12</v>
      </c>
      <c r="W33" s="4">
        <v>604.87</v>
      </c>
      <c r="X33" s="4">
        <v>-788.54</v>
      </c>
      <c r="Y33" s="5">
        <f t="shared" si="16"/>
        <v>-183.66999999999996</v>
      </c>
      <c r="Z33" s="5">
        <f t="shared" si="17"/>
        <v>-1169.79</v>
      </c>
      <c r="AC33" s="4">
        <v>788.53</v>
      </c>
      <c r="AD33" s="4">
        <v>-183.66</v>
      </c>
      <c r="AE33" s="5">
        <f t="shared" si="18"/>
        <v>604.87</v>
      </c>
      <c r="AF33" s="5">
        <f t="shared" si="19"/>
        <v>-564.91999999999996</v>
      </c>
      <c r="AK33" s="5">
        <f t="shared" si="20"/>
        <v>0</v>
      </c>
      <c r="AL33" s="5">
        <f t="shared" si="21"/>
        <v>-564.91999999999996</v>
      </c>
      <c r="AQ33" s="5">
        <f t="shared" si="22"/>
        <v>0</v>
      </c>
      <c r="AR33" s="5">
        <f t="shared" si="23"/>
        <v>-564.91999999999996</v>
      </c>
      <c r="AW33" s="5">
        <f t="shared" si="24"/>
        <v>0</v>
      </c>
      <c r="AX33" s="5">
        <f t="shared" si="25"/>
        <v>-564.91999999999996</v>
      </c>
      <c r="BC33" s="5">
        <f t="shared" si="26"/>
        <v>0</v>
      </c>
      <c r="BD33" s="5">
        <f t="shared" si="27"/>
        <v>-564.91999999999996</v>
      </c>
      <c r="BI33" s="5">
        <f t="shared" si="28"/>
        <v>0</v>
      </c>
      <c r="BJ33" s="5">
        <f t="shared" si="29"/>
        <v>-564.91999999999996</v>
      </c>
      <c r="BO33" s="5">
        <f t="shared" si="30"/>
        <v>0</v>
      </c>
      <c r="BP33" s="5">
        <f t="shared" si="31"/>
        <v>-564.91999999999996</v>
      </c>
      <c r="BU33" s="5">
        <f t="shared" si="32"/>
        <v>0</v>
      </c>
      <c r="BV33" s="5">
        <f t="shared" si="33"/>
        <v>-564.91999999999996</v>
      </c>
    </row>
    <row r="34" spans="1:74">
      <c r="A34" s="4" t="s">
        <v>115</v>
      </c>
      <c r="B34" s="9">
        <v>-4125</v>
      </c>
      <c r="C34" s="5"/>
      <c r="D34" s="5"/>
      <c r="E34" s="4">
        <v>4125</v>
      </c>
      <c r="F34" s="4">
        <v>-4125</v>
      </c>
      <c r="G34" s="5">
        <f t="shared" si="10"/>
        <v>0</v>
      </c>
      <c r="H34" s="5">
        <f>B34+G34</f>
        <v>-4125</v>
      </c>
      <c r="I34" s="5"/>
      <c r="J34" s="5"/>
      <c r="K34" s="4">
        <v>3000</v>
      </c>
      <c r="L34" s="5">
        <v>-3000</v>
      </c>
      <c r="M34" s="5">
        <f t="shared" si="12"/>
        <v>0</v>
      </c>
      <c r="N34" s="5">
        <f t="shared" si="13"/>
        <v>-4125</v>
      </c>
      <c r="Q34" s="4">
        <v>3000</v>
      </c>
      <c r="R34" s="4">
        <v>-3000</v>
      </c>
      <c r="S34" s="5">
        <f t="shared" si="14"/>
        <v>0</v>
      </c>
      <c r="T34" s="5">
        <f t="shared" si="15"/>
        <v>-4125</v>
      </c>
      <c r="W34" s="4">
        <v>3000</v>
      </c>
      <c r="X34" s="4">
        <f>-3000+4247.68</f>
        <v>1247.6800000000003</v>
      </c>
      <c r="Y34" s="5">
        <f t="shared" si="16"/>
        <v>4247.68</v>
      </c>
      <c r="Z34" s="5">
        <f t="shared" si="17"/>
        <v>122.68000000000029</v>
      </c>
      <c r="AC34" s="4">
        <v>3000</v>
      </c>
      <c r="AD34" s="4">
        <v>-3000</v>
      </c>
      <c r="AE34" s="5">
        <f t="shared" si="18"/>
        <v>0</v>
      </c>
      <c r="AF34" s="5">
        <f t="shared" si="19"/>
        <v>122.68000000000029</v>
      </c>
      <c r="AK34" s="5">
        <f t="shared" si="20"/>
        <v>0</v>
      </c>
      <c r="AL34" s="5">
        <f t="shared" si="21"/>
        <v>122.68000000000029</v>
      </c>
      <c r="AQ34" s="5">
        <f t="shared" si="22"/>
        <v>0</v>
      </c>
      <c r="AR34" s="5">
        <f t="shared" si="23"/>
        <v>122.68000000000029</v>
      </c>
      <c r="AW34" s="5">
        <f t="shared" si="24"/>
        <v>0</v>
      </c>
      <c r="AX34" s="5">
        <f t="shared" si="25"/>
        <v>122.68000000000029</v>
      </c>
      <c r="BC34" s="5">
        <f t="shared" si="26"/>
        <v>0</v>
      </c>
      <c r="BD34" s="5">
        <f t="shared" si="27"/>
        <v>122.68000000000029</v>
      </c>
      <c r="BI34" s="5">
        <f t="shared" si="28"/>
        <v>0</v>
      </c>
      <c r="BJ34" s="5">
        <f t="shared" si="29"/>
        <v>122.68000000000029</v>
      </c>
      <c r="BO34" s="5">
        <f t="shared" si="30"/>
        <v>0</v>
      </c>
      <c r="BP34" s="5">
        <f t="shared" si="31"/>
        <v>122.68000000000029</v>
      </c>
      <c r="BU34" s="5">
        <f t="shared" si="32"/>
        <v>0</v>
      </c>
      <c r="BV34" s="5">
        <f t="shared" si="33"/>
        <v>122.68000000000029</v>
      </c>
    </row>
    <row r="35" spans="1:74">
      <c r="A35" s="4" t="s">
        <v>421</v>
      </c>
      <c r="B35" s="9">
        <v>-571.875</v>
      </c>
      <c r="C35" s="5"/>
      <c r="D35" s="5"/>
      <c r="G35" s="5">
        <f>SUM(C35:F35)</f>
        <v>0</v>
      </c>
      <c r="H35" s="5">
        <f>B35+G35</f>
        <v>-571.875</v>
      </c>
      <c r="I35" s="5"/>
      <c r="J35" s="5"/>
      <c r="L35" s="5"/>
      <c r="M35" s="5"/>
      <c r="N35" s="5"/>
      <c r="S35" s="5"/>
      <c r="T35" s="5"/>
      <c r="Y35" s="5"/>
      <c r="Z35" s="5"/>
      <c r="AE35" s="5"/>
      <c r="AF35" s="5"/>
      <c r="AK35" s="5"/>
      <c r="AL35" s="5"/>
      <c r="AQ35" s="5"/>
      <c r="AR35" s="5"/>
      <c r="AW35" s="5"/>
      <c r="AX35" s="5"/>
      <c r="BC35" s="5"/>
      <c r="BD35" s="5"/>
      <c r="BI35" s="5"/>
      <c r="BJ35" s="5"/>
      <c r="BO35" s="5"/>
      <c r="BP35" s="5"/>
      <c r="BU35" s="5"/>
      <c r="BV35" s="5"/>
    </row>
    <row r="36" spans="1:74">
      <c r="A36" s="4" t="s">
        <v>116</v>
      </c>
      <c r="B36" s="9">
        <v>-437.03999999999797</v>
      </c>
      <c r="C36" s="5"/>
      <c r="D36" s="5"/>
      <c r="E36" s="5">
        <v>5485.68</v>
      </c>
      <c r="F36" s="5">
        <v>-1150.04</v>
      </c>
      <c r="G36" s="5">
        <f t="shared" si="10"/>
        <v>4335.6400000000003</v>
      </c>
      <c r="H36" s="5">
        <f t="shared" si="11"/>
        <v>3898.6000000000022</v>
      </c>
      <c r="I36" s="5"/>
      <c r="J36" s="5"/>
      <c r="K36" s="5"/>
      <c r="L36" s="5">
        <v>8884.6200000000008</v>
      </c>
      <c r="M36" s="5">
        <f t="shared" si="12"/>
        <v>8884.6200000000008</v>
      </c>
      <c r="N36" s="5">
        <f t="shared" si="13"/>
        <v>12783.220000000003</v>
      </c>
      <c r="R36" s="4">
        <v>8671.7800000000007</v>
      </c>
      <c r="S36" s="5">
        <f t="shared" si="14"/>
        <v>8671.7800000000007</v>
      </c>
      <c r="T36" s="5">
        <f t="shared" si="15"/>
        <v>21455.000000000004</v>
      </c>
      <c r="X36" s="4">
        <v>-7758.35</v>
      </c>
      <c r="Y36" s="5">
        <f t="shared" si="16"/>
        <v>-7758.35</v>
      </c>
      <c r="Z36" s="5">
        <f t="shared" si="17"/>
        <v>13696.650000000003</v>
      </c>
      <c r="AC36" s="4">
        <v>9136.92</v>
      </c>
      <c r="AD36" s="4">
        <v>-9467.23</v>
      </c>
      <c r="AE36" s="5">
        <f t="shared" si="18"/>
        <v>-330.30999999999949</v>
      </c>
      <c r="AF36" s="5">
        <f t="shared" si="19"/>
        <v>13366.340000000004</v>
      </c>
      <c r="AI36" s="5"/>
      <c r="AK36" s="5">
        <f t="shared" si="20"/>
        <v>0</v>
      </c>
      <c r="AL36" s="5">
        <f t="shared" si="21"/>
        <v>13366.340000000004</v>
      </c>
      <c r="AQ36" s="5">
        <f t="shared" si="22"/>
        <v>0</v>
      </c>
      <c r="AR36" s="5">
        <f t="shared" si="23"/>
        <v>13366.340000000004</v>
      </c>
      <c r="AW36" s="5">
        <f t="shared" si="24"/>
        <v>0</v>
      </c>
      <c r="AX36" s="5">
        <f t="shared" si="25"/>
        <v>13366.340000000004</v>
      </c>
      <c r="BC36" s="5">
        <f t="shared" si="26"/>
        <v>0</v>
      </c>
      <c r="BD36" s="5">
        <f t="shared" si="27"/>
        <v>13366.340000000004</v>
      </c>
      <c r="BI36" s="5">
        <f t="shared" si="28"/>
        <v>0</v>
      </c>
      <c r="BJ36" s="5">
        <f t="shared" si="29"/>
        <v>13366.340000000004</v>
      </c>
      <c r="BO36" s="5">
        <f t="shared" si="30"/>
        <v>0</v>
      </c>
      <c r="BP36" s="5">
        <f>BJ36+BO36</f>
        <v>13366.340000000004</v>
      </c>
      <c r="BU36" s="5">
        <f t="shared" si="32"/>
        <v>0</v>
      </c>
      <c r="BV36" s="5">
        <f t="shared" si="33"/>
        <v>13366.340000000004</v>
      </c>
    </row>
    <row r="37" spans="1:74">
      <c r="A37" s="4" t="s">
        <v>117</v>
      </c>
      <c r="B37" s="9">
        <v>-2820.07</v>
      </c>
      <c r="C37" s="5"/>
      <c r="D37" s="5"/>
      <c r="E37" s="4">
        <v>-2520.0700000000002</v>
      </c>
      <c r="F37" s="5">
        <v>2520.0700000000002</v>
      </c>
      <c r="G37" s="5">
        <f t="shared" si="10"/>
        <v>0</v>
      </c>
      <c r="H37" s="5">
        <f t="shared" si="11"/>
        <v>-2820.07</v>
      </c>
      <c r="I37" s="5"/>
      <c r="J37" s="5"/>
      <c r="K37" s="4">
        <v>2590.9699999999998</v>
      </c>
      <c r="L37" s="5">
        <v>-2590.9699999999998</v>
      </c>
      <c r="M37" s="5">
        <f t="shared" si="12"/>
        <v>0</v>
      </c>
      <c r="N37" s="5">
        <f t="shared" si="13"/>
        <v>-2820.07</v>
      </c>
      <c r="Q37" s="4">
        <v>-2590.9699999999998</v>
      </c>
      <c r="R37" s="4">
        <v>2590.9699999999998</v>
      </c>
      <c r="S37" s="5">
        <f t="shared" si="14"/>
        <v>0</v>
      </c>
      <c r="T37" s="5">
        <f t="shared" si="15"/>
        <v>-2820.07</v>
      </c>
      <c r="W37" s="4">
        <v>-1800</v>
      </c>
      <c r="X37" s="4">
        <v>1800</v>
      </c>
      <c r="Y37" s="5">
        <f t="shared" si="16"/>
        <v>0</v>
      </c>
      <c r="Z37" s="5">
        <f t="shared" si="17"/>
        <v>-2820.07</v>
      </c>
      <c r="AE37" s="5">
        <f t="shared" si="18"/>
        <v>0</v>
      </c>
      <c r="AF37" s="5">
        <f t="shared" si="19"/>
        <v>-2820.07</v>
      </c>
      <c r="AK37" s="5">
        <f t="shared" si="20"/>
        <v>0</v>
      </c>
      <c r="AL37" s="5">
        <f t="shared" si="21"/>
        <v>-2820.07</v>
      </c>
      <c r="AQ37" s="5">
        <f t="shared" si="22"/>
        <v>0</v>
      </c>
      <c r="AR37" s="5">
        <f t="shared" si="23"/>
        <v>-2820.07</v>
      </c>
      <c r="AW37" s="5">
        <f t="shared" si="24"/>
        <v>0</v>
      </c>
      <c r="AX37" s="5">
        <f t="shared" si="25"/>
        <v>-2820.07</v>
      </c>
      <c r="BC37" s="5">
        <f t="shared" si="26"/>
        <v>0</v>
      </c>
      <c r="BD37" s="5">
        <f t="shared" si="27"/>
        <v>-2820.07</v>
      </c>
      <c r="BI37" s="5">
        <f t="shared" si="28"/>
        <v>0</v>
      </c>
      <c r="BJ37" s="5">
        <f t="shared" si="29"/>
        <v>-2820.07</v>
      </c>
      <c r="BO37" s="5">
        <f t="shared" si="30"/>
        <v>0</v>
      </c>
      <c r="BP37" s="5">
        <f t="shared" si="31"/>
        <v>-2820.07</v>
      </c>
      <c r="BU37" s="5">
        <f t="shared" si="32"/>
        <v>0</v>
      </c>
      <c r="BV37" s="5">
        <f t="shared" si="33"/>
        <v>-2820.07</v>
      </c>
    </row>
    <row r="38" spans="1:74">
      <c r="A38" s="4" t="s">
        <v>420</v>
      </c>
      <c r="B38" s="9">
        <v>-2424.25</v>
      </c>
      <c r="C38" s="5"/>
      <c r="D38" s="5"/>
      <c r="E38" s="4">
        <v>2424.25</v>
      </c>
      <c r="F38" s="5">
        <v>-2424.25</v>
      </c>
      <c r="G38" s="5">
        <f>SUM(C38:F38)</f>
        <v>0</v>
      </c>
      <c r="H38" s="5">
        <f>B38+G38</f>
        <v>-2424.25</v>
      </c>
      <c r="I38" s="5"/>
      <c r="J38" s="5"/>
      <c r="L38" s="5"/>
      <c r="M38" s="5"/>
      <c r="N38" s="5"/>
      <c r="S38" s="5"/>
      <c r="T38" s="5"/>
      <c r="Y38" s="5"/>
      <c r="Z38" s="5"/>
      <c r="AE38" s="5"/>
      <c r="AF38" s="5"/>
      <c r="AK38" s="5"/>
      <c r="AL38" s="5"/>
      <c r="AQ38" s="5"/>
      <c r="AR38" s="5"/>
      <c r="AW38" s="5"/>
      <c r="AX38" s="5"/>
      <c r="BC38" s="5"/>
      <c r="BD38" s="5"/>
      <c r="BI38" s="5"/>
      <c r="BJ38" s="5"/>
      <c r="BO38" s="5"/>
      <c r="BP38" s="5"/>
      <c r="BU38" s="5"/>
      <c r="BV38" s="5"/>
    </row>
    <row r="39" spans="1:74">
      <c r="A39" s="4" t="s">
        <v>360</v>
      </c>
      <c r="B39" s="9">
        <v>-99523.199999999997</v>
      </c>
      <c r="C39" s="5"/>
      <c r="D39" s="5"/>
      <c r="F39" s="5"/>
      <c r="G39" s="5">
        <f t="shared" si="10"/>
        <v>0</v>
      </c>
      <c r="H39" s="5">
        <f t="shared" si="11"/>
        <v>-99523.199999999997</v>
      </c>
      <c r="I39" s="5"/>
      <c r="J39" s="5"/>
      <c r="L39" s="5"/>
      <c r="M39" s="5"/>
      <c r="N39" s="5">
        <f t="shared" si="13"/>
        <v>-99523.199999999997</v>
      </c>
      <c r="Q39" s="4">
        <v>-4735.83</v>
      </c>
      <c r="S39" s="5">
        <f t="shared" si="14"/>
        <v>-4735.83</v>
      </c>
      <c r="T39" s="5">
        <f t="shared" si="15"/>
        <v>-104259.03</v>
      </c>
      <c r="W39" s="4">
        <v>-9471.66</v>
      </c>
      <c r="X39" s="4">
        <v>210135</v>
      </c>
      <c r="Y39" s="5">
        <f t="shared" si="16"/>
        <v>200663.34</v>
      </c>
      <c r="Z39" s="5">
        <f t="shared" si="17"/>
        <v>96404.31</v>
      </c>
      <c r="AC39" s="4">
        <v>-18943.32</v>
      </c>
      <c r="AE39" s="5">
        <f t="shared" si="18"/>
        <v>-18943.32</v>
      </c>
      <c r="AF39" s="5">
        <f t="shared" si="19"/>
        <v>77460.989999999991</v>
      </c>
      <c r="AK39" s="5"/>
      <c r="AL39" s="5">
        <f t="shared" si="21"/>
        <v>77460.989999999991</v>
      </c>
      <c r="AQ39" s="5">
        <f t="shared" si="22"/>
        <v>0</v>
      </c>
      <c r="AR39" s="5">
        <f t="shared" si="23"/>
        <v>77460.989999999991</v>
      </c>
      <c r="AW39" s="5">
        <f t="shared" si="24"/>
        <v>0</v>
      </c>
      <c r="AX39" s="5">
        <f t="shared" si="25"/>
        <v>77460.989999999991</v>
      </c>
      <c r="BC39" s="5">
        <f t="shared" si="26"/>
        <v>0</v>
      </c>
      <c r="BD39" s="5">
        <f t="shared" si="27"/>
        <v>77460.989999999991</v>
      </c>
      <c r="BI39" s="5">
        <f t="shared" si="28"/>
        <v>0</v>
      </c>
      <c r="BJ39" s="5">
        <f t="shared" si="29"/>
        <v>77460.989999999991</v>
      </c>
      <c r="BO39" s="5">
        <f t="shared" si="30"/>
        <v>0</v>
      </c>
      <c r="BP39" s="5">
        <f t="shared" si="31"/>
        <v>77460.989999999991</v>
      </c>
      <c r="BU39" s="5">
        <f t="shared" si="32"/>
        <v>0</v>
      </c>
      <c r="BV39" s="5">
        <f t="shared" si="33"/>
        <v>77460.989999999991</v>
      </c>
    </row>
    <row r="40" spans="1:74">
      <c r="A40" s="4" t="s">
        <v>118</v>
      </c>
      <c r="B40" s="9"/>
      <c r="E40" s="5">
        <v>26151.39</v>
      </c>
      <c r="F40" s="4">
        <v>433.6767857142857</v>
      </c>
      <c r="G40" s="5">
        <f t="shared" si="10"/>
        <v>26585.066785714283</v>
      </c>
      <c r="H40" s="5">
        <f t="shared" si="11"/>
        <v>26585.066785714283</v>
      </c>
      <c r="I40" s="5"/>
      <c r="J40" s="5"/>
      <c r="K40" s="4">
        <v>22054.53</v>
      </c>
      <c r="L40" s="5">
        <f>845.52</f>
        <v>845.52</v>
      </c>
      <c r="M40" s="5">
        <f t="shared" si="12"/>
        <v>22900.05</v>
      </c>
      <c r="N40" s="5">
        <f t="shared" si="13"/>
        <v>49485.116785714286</v>
      </c>
      <c r="Q40" s="4">
        <f>12721.87+11670.58</f>
        <v>24392.45</v>
      </c>
      <c r="R40" s="4">
        <f>816.21+132383.45</f>
        <v>133199.66</v>
      </c>
      <c r="S40" s="5">
        <f t="shared" si="14"/>
        <v>157592.11000000002</v>
      </c>
      <c r="T40" s="5">
        <f t="shared" si="15"/>
        <v>207077.2267857143</v>
      </c>
      <c r="W40" s="4">
        <v>23614</v>
      </c>
      <c r="X40" s="4">
        <v>1052.6517857142856</v>
      </c>
      <c r="Y40" s="5">
        <f t="shared" si="16"/>
        <v>24666.651785714286</v>
      </c>
      <c r="Z40" s="5">
        <f t="shared" si="17"/>
        <v>231743.87857142859</v>
      </c>
      <c r="AC40" s="4">
        <v>33228.11</v>
      </c>
      <c r="AD40" s="4">
        <v>674.36</v>
      </c>
      <c r="AE40" s="5">
        <f t="shared" si="18"/>
        <v>33902.47</v>
      </c>
      <c r="AF40" s="5">
        <f t="shared" si="19"/>
        <v>265646.34857142856</v>
      </c>
      <c r="AK40" s="5">
        <f t="shared" si="20"/>
        <v>0</v>
      </c>
      <c r="AL40" s="5">
        <f t="shared" si="21"/>
        <v>265646.34857142856</v>
      </c>
      <c r="AQ40" s="5">
        <f t="shared" si="22"/>
        <v>0</v>
      </c>
      <c r="AR40" s="5">
        <f t="shared" si="23"/>
        <v>265646.34857142856</v>
      </c>
      <c r="AW40" s="5">
        <f t="shared" si="24"/>
        <v>0</v>
      </c>
      <c r="AX40" s="5">
        <f t="shared" si="25"/>
        <v>265646.34857142856</v>
      </c>
      <c r="BC40" s="5">
        <f t="shared" si="26"/>
        <v>0</v>
      </c>
      <c r="BD40" s="5">
        <f t="shared" si="27"/>
        <v>265646.34857142856</v>
      </c>
      <c r="BI40" s="5">
        <f t="shared" si="28"/>
        <v>0</v>
      </c>
      <c r="BJ40" s="5">
        <f t="shared" si="29"/>
        <v>265646.34857142856</v>
      </c>
      <c r="BO40" s="5">
        <f t="shared" si="30"/>
        <v>0</v>
      </c>
      <c r="BP40" s="5">
        <f t="shared" si="31"/>
        <v>265646.34857142856</v>
      </c>
      <c r="BU40" s="5">
        <f t="shared" si="32"/>
        <v>0</v>
      </c>
      <c r="BV40" s="5">
        <f t="shared" si="33"/>
        <v>265646.34857142856</v>
      </c>
    </row>
    <row r="41" spans="1:74">
      <c r="A41" s="4" t="s">
        <v>119</v>
      </c>
      <c r="B41" s="9"/>
      <c r="C41" s="5">
        <v>-81990.19</v>
      </c>
      <c r="E41" s="5"/>
      <c r="F41" s="5"/>
      <c r="G41" s="5">
        <f t="shared" si="10"/>
        <v>-81990.19</v>
      </c>
      <c r="H41" s="5">
        <f t="shared" si="11"/>
        <v>-81990.19</v>
      </c>
      <c r="I41" s="5">
        <v>-136041.57999999999</v>
      </c>
      <c r="K41" s="5"/>
      <c r="L41" s="5"/>
      <c r="M41" s="5">
        <f t="shared" si="12"/>
        <v>-136041.57999999999</v>
      </c>
      <c r="N41" s="5">
        <f t="shared" si="13"/>
        <v>-218031.77</v>
      </c>
      <c r="O41" s="4">
        <v>-145921.54</v>
      </c>
      <c r="S41" s="5">
        <f t="shared" si="14"/>
        <v>-145921.54</v>
      </c>
      <c r="T41" s="5">
        <f t="shared" si="15"/>
        <v>-363953.31</v>
      </c>
      <c r="U41" s="4">
        <v>-79149.570000000007</v>
      </c>
      <c r="Y41" s="5">
        <f t="shared" si="16"/>
        <v>-79149.570000000007</v>
      </c>
      <c r="Z41" s="5">
        <f t="shared" si="17"/>
        <v>-443102.88</v>
      </c>
      <c r="AA41" s="4">
        <v>-70019.899999999994</v>
      </c>
      <c r="AE41" s="5">
        <f t="shared" si="18"/>
        <v>-70019.899999999994</v>
      </c>
      <c r="AF41" s="5">
        <f t="shared" si="19"/>
        <v>-513122.78</v>
      </c>
      <c r="AK41" s="5">
        <f t="shared" si="20"/>
        <v>0</v>
      </c>
      <c r="AL41" s="5">
        <f t="shared" si="21"/>
        <v>-513122.78</v>
      </c>
      <c r="AQ41" s="5">
        <f t="shared" si="22"/>
        <v>0</v>
      </c>
      <c r="AR41" s="5">
        <f t="shared" si="23"/>
        <v>-513122.78</v>
      </c>
      <c r="AW41" s="5">
        <f t="shared" si="24"/>
        <v>0</v>
      </c>
      <c r="AX41" s="5">
        <f t="shared" si="25"/>
        <v>-513122.78</v>
      </c>
      <c r="BC41" s="5">
        <f t="shared" si="26"/>
        <v>0</v>
      </c>
      <c r="BD41" s="5">
        <f t="shared" si="27"/>
        <v>-513122.78</v>
      </c>
      <c r="BI41" s="5">
        <f t="shared" si="28"/>
        <v>0</v>
      </c>
      <c r="BJ41" s="5">
        <f t="shared" si="29"/>
        <v>-513122.78</v>
      </c>
      <c r="BO41" s="5">
        <f t="shared" si="30"/>
        <v>0</v>
      </c>
      <c r="BP41" s="5">
        <f t="shared" si="31"/>
        <v>-513122.78</v>
      </c>
      <c r="BU41" s="5">
        <f t="shared" si="32"/>
        <v>0</v>
      </c>
      <c r="BV41" s="5">
        <f t="shared" si="33"/>
        <v>-513122.78</v>
      </c>
    </row>
    <row r="42" spans="1:74" s="3" customFormat="1">
      <c r="A42" s="3" t="s">
        <v>120</v>
      </c>
      <c r="B42" s="9">
        <v>-81919.600000000006</v>
      </c>
      <c r="E42" s="3">
        <v>81919.600000000006</v>
      </c>
      <c r="F42" s="3">
        <v>-55405.13</v>
      </c>
      <c r="G42" s="5">
        <f t="shared" si="10"/>
        <v>26514.470000000008</v>
      </c>
      <c r="H42" s="5">
        <f t="shared" si="11"/>
        <v>-55405.13</v>
      </c>
      <c r="M42" s="5">
        <f t="shared" si="12"/>
        <v>0</v>
      </c>
      <c r="N42" s="5">
        <f t="shared" si="13"/>
        <v>-55405.13</v>
      </c>
      <c r="Q42" s="4">
        <v>11670.58</v>
      </c>
      <c r="R42" s="3">
        <f>-11670.58-132383.45</f>
        <v>-144054.03</v>
      </c>
      <c r="S42" s="5">
        <f t="shared" si="14"/>
        <v>-132383.45000000001</v>
      </c>
      <c r="T42" s="5">
        <f t="shared" si="15"/>
        <v>-187788.58000000002</v>
      </c>
      <c r="W42" s="3">
        <v>132383.45000000001</v>
      </c>
      <c r="X42" s="3">
        <v>-54482.93</v>
      </c>
      <c r="Y42" s="5">
        <f t="shared" si="16"/>
        <v>77900.520000000019</v>
      </c>
      <c r="Z42" s="5">
        <f t="shared" si="17"/>
        <v>-109888.06</v>
      </c>
      <c r="AC42" s="3">
        <v>54482.93</v>
      </c>
      <c r="AD42" s="3">
        <v>-36117.43</v>
      </c>
      <c r="AE42" s="5">
        <f t="shared" si="18"/>
        <v>18365.5</v>
      </c>
      <c r="AF42" s="5">
        <f t="shared" si="19"/>
        <v>-91522.559999999998</v>
      </c>
      <c r="AK42" s="5">
        <f t="shared" si="20"/>
        <v>0</v>
      </c>
      <c r="AL42" s="5">
        <f t="shared" si="21"/>
        <v>-91522.559999999998</v>
      </c>
      <c r="AQ42" s="5">
        <f t="shared" si="22"/>
        <v>0</v>
      </c>
      <c r="AR42" s="5">
        <f t="shared" si="23"/>
        <v>-91522.559999999998</v>
      </c>
      <c r="AW42" s="5">
        <f t="shared" si="24"/>
        <v>0</v>
      </c>
      <c r="AX42" s="5">
        <f t="shared" si="25"/>
        <v>-91522.559999999998</v>
      </c>
      <c r="BC42" s="5">
        <f t="shared" si="26"/>
        <v>0</v>
      </c>
      <c r="BD42" s="5">
        <f t="shared" si="27"/>
        <v>-91522.559999999998</v>
      </c>
      <c r="BI42" s="5">
        <f t="shared" si="28"/>
        <v>0</v>
      </c>
      <c r="BJ42" s="5">
        <f t="shared" si="29"/>
        <v>-91522.559999999998</v>
      </c>
      <c r="BO42" s="5">
        <f t="shared" si="30"/>
        <v>0</v>
      </c>
      <c r="BP42" s="5">
        <f t="shared" si="31"/>
        <v>-91522.559999999998</v>
      </c>
      <c r="BU42" s="5">
        <f t="shared" si="32"/>
        <v>0</v>
      </c>
      <c r="BV42" s="5">
        <f t="shared" si="33"/>
        <v>-91522.559999999998</v>
      </c>
    </row>
    <row r="43" spans="1:74" s="3" customFormat="1">
      <c r="A43" s="3" t="s">
        <v>121</v>
      </c>
      <c r="B43" s="9"/>
      <c r="G43" s="5">
        <f t="shared" si="10"/>
        <v>0</v>
      </c>
      <c r="H43" s="5">
        <f t="shared" si="11"/>
        <v>0</v>
      </c>
      <c r="M43" s="5">
        <f t="shared" si="12"/>
        <v>0</v>
      </c>
      <c r="N43" s="5">
        <f t="shared" si="13"/>
        <v>0</v>
      </c>
      <c r="S43" s="5">
        <f t="shared" si="14"/>
        <v>0</v>
      </c>
      <c r="T43" s="5">
        <f t="shared" si="15"/>
        <v>0</v>
      </c>
      <c r="Y43" s="5">
        <f t="shared" si="16"/>
        <v>0</v>
      </c>
      <c r="Z43" s="5">
        <f t="shared" si="17"/>
        <v>0</v>
      </c>
      <c r="AE43" s="5">
        <f t="shared" si="18"/>
        <v>0</v>
      </c>
      <c r="AF43" s="5">
        <f t="shared" si="19"/>
        <v>0</v>
      </c>
      <c r="AJ43" s="9"/>
      <c r="AK43" s="5">
        <f t="shared" si="20"/>
        <v>0</v>
      </c>
      <c r="AL43" s="5">
        <f t="shared" si="21"/>
        <v>0</v>
      </c>
      <c r="AP43" s="9"/>
      <c r="AQ43" s="5">
        <f t="shared" si="22"/>
        <v>0</v>
      </c>
      <c r="AR43" s="5">
        <f t="shared" si="23"/>
        <v>0</v>
      </c>
      <c r="AV43" s="9"/>
      <c r="AW43" s="5">
        <f t="shared" si="24"/>
        <v>0</v>
      </c>
      <c r="AX43" s="5">
        <f t="shared" si="25"/>
        <v>0</v>
      </c>
      <c r="BB43" s="9"/>
      <c r="BC43" s="5">
        <f t="shared" si="26"/>
        <v>0</v>
      </c>
      <c r="BD43" s="5">
        <f t="shared" si="27"/>
        <v>0</v>
      </c>
      <c r="BH43" s="9"/>
      <c r="BI43" s="5">
        <f t="shared" si="28"/>
        <v>0</v>
      </c>
      <c r="BJ43" s="5">
        <f t="shared" si="29"/>
        <v>0</v>
      </c>
      <c r="BN43" s="9"/>
      <c r="BO43" s="5">
        <f t="shared" si="30"/>
        <v>0</v>
      </c>
      <c r="BP43" s="5">
        <f t="shared" si="31"/>
        <v>0</v>
      </c>
      <c r="BT43" s="9"/>
      <c r="BU43" s="5">
        <f t="shared" si="32"/>
        <v>0</v>
      </c>
      <c r="BV43" s="5">
        <f t="shared" si="33"/>
        <v>0</v>
      </c>
    </row>
    <row r="44" spans="1:74">
      <c r="A44" s="4" t="s">
        <v>395</v>
      </c>
      <c r="B44" s="9"/>
      <c r="C44" s="5"/>
      <c r="D44" s="5"/>
      <c r="E44" s="5"/>
      <c r="F44" s="5"/>
      <c r="G44" s="5">
        <f t="shared" si="10"/>
        <v>0</v>
      </c>
      <c r="H44" s="5">
        <f t="shared" si="11"/>
        <v>0</v>
      </c>
      <c r="I44" s="5"/>
      <c r="J44" s="5"/>
      <c r="K44" s="5"/>
      <c r="L44" s="3"/>
      <c r="M44" s="5">
        <f t="shared" si="12"/>
        <v>0</v>
      </c>
      <c r="N44" s="5">
        <f t="shared" si="13"/>
        <v>0</v>
      </c>
      <c r="S44" s="5">
        <f t="shared" si="14"/>
        <v>0</v>
      </c>
      <c r="T44" s="5">
        <f t="shared" si="15"/>
        <v>0</v>
      </c>
      <c r="Y44" s="5">
        <f t="shared" si="16"/>
        <v>0</v>
      </c>
      <c r="Z44" s="5">
        <f t="shared" si="17"/>
        <v>0</v>
      </c>
      <c r="AE44" s="5">
        <f t="shared" si="18"/>
        <v>0</v>
      </c>
      <c r="AF44" s="5">
        <f t="shared" si="19"/>
        <v>0</v>
      </c>
      <c r="AG44" s="5"/>
      <c r="AH44" s="5"/>
      <c r="AI44" s="5"/>
      <c r="AK44" s="5">
        <f t="shared" si="20"/>
        <v>0</v>
      </c>
      <c r="AL44" s="5">
        <f t="shared" si="21"/>
        <v>0</v>
      </c>
      <c r="AM44" s="5"/>
      <c r="AN44" s="5"/>
      <c r="AO44" s="5"/>
      <c r="AQ44" s="5">
        <f t="shared" si="22"/>
        <v>0</v>
      </c>
      <c r="AR44" s="5">
        <f t="shared" si="23"/>
        <v>0</v>
      </c>
      <c r="AS44" s="5"/>
      <c r="AT44" s="5"/>
      <c r="AU44" s="5"/>
      <c r="AW44" s="5">
        <f t="shared" si="24"/>
        <v>0</v>
      </c>
      <c r="AX44" s="5">
        <f t="shared" si="25"/>
        <v>0</v>
      </c>
      <c r="AY44" s="5"/>
      <c r="AZ44" s="5"/>
      <c r="BA44" s="5"/>
      <c r="BC44" s="5">
        <f t="shared" si="26"/>
        <v>0</v>
      </c>
      <c r="BD44" s="5">
        <f t="shared" si="27"/>
        <v>0</v>
      </c>
      <c r="BE44" s="5"/>
      <c r="BF44" s="5"/>
      <c r="BG44" s="5"/>
      <c r="BI44" s="5">
        <f t="shared" si="28"/>
        <v>0</v>
      </c>
      <c r="BJ44" s="5">
        <f t="shared" si="29"/>
        <v>0</v>
      </c>
      <c r="BK44" s="5"/>
      <c r="BL44" s="5"/>
      <c r="BM44" s="5"/>
      <c r="BO44" s="5">
        <f t="shared" si="30"/>
        <v>0</v>
      </c>
      <c r="BP44" s="5">
        <f t="shared" si="31"/>
        <v>0</v>
      </c>
      <c r="BQ44" s="5"/>
      <c r="BR44" s="5"/>
      <c r="BS44" s="5"/>
      <c r="BU44" s="5">
        <f t="shared" si="32"/>
        <v>0</v>
      </c>
      <c r="BV44" s="5">
        <f t="shared" si="33"/>
        <v>0</v>
      </c>
    </row>
    <row r="45" spans="1:74">
      <c r="A45" s="4" t="s">
        <v>123</v>
      </c>
      <c r="B45" s="9">
        <v>-10000000</v>
      </c>
      <c r="C45" s="5"/>
      <c r="D45" s="5"/>
      <c r="E45" s="5"/>
      <c r="F45" s="5"/>
      <c r="G45" s="5">
        <f t="shared" si="10"/>
        <v>0</v>
      </c>
      <c r="H45" s="5">
        <f t="shared" si="11"/>
        <v>-10000000</v>
      </c>
      <c r="I45" s="5"/>
      <c r="J45" s="5"/>
      <c r="K45" s="5"/>
      <c r="L45" s="5"/>
      <c r="M45" s="5">
        <f t="shared" si="12"/>
        <v>0</v>
      </c>
      <c r="N45" s="5">
        <f t="shared" si="13"/>
        <v>-10000000</v>
      </c>
      <c r="S45" s="5">
        <f t="shared" si="14"/>
        <v>0</v>
      </c>
      <c r="T45" s="5">
        <f t="shared" si="15"/>
        <v>-10000000</v>
      </c>
      <c r="Y45" s="5">
        <f t="shared" si="16"/>
        <v>0</v>
      </c>
      <c r="Z45" s="5">
        <f t="shared" si="17"/>
        <v>-10000000</v>
      </c>
      <c r="AE45" s="5">
        <f t="shared" si="18"/>
        <v>0</v>
      </c>
      <c r="AF45" s="5">
        <f t="shared" si="19"/>
        <v>-10000000</v>
      </c>
      <c r="AG45" s="5"/>
      <c r="AH45" s="5"/>
      <c r="AI45" s="5"/>
      <c r="AK45" s="5">
        <f t="shared" si="20"/>
        <v>0</v>
      </c>
      <c r="AL45" s="5">
        <f t="shared" si="21"/>
        <v>-10000000</v>
      </c>
      <c r="AM45" s="5"/>
      <c r="AN45" s="5"/>
      <c r="AO45" s="5"/>
      <c r="AQ45" s="5">
        <f t="shared" si="22"/>
        <v>0</v>
      </c>
      <c r="AR45" s="5">
        <f t="shared" si="23"/>
        <v>-10000000</v>
      </c>
      <c r="AS45" s="5"/>
      <c r="AT45" s="5"/>
      <c r="AU45" s="5"/>
      <c r="AW45" s="5">
        <f t="shared" si="24"/>
        <v>0</v>
      </c>
      <c r="AX45" s="5">
        <f t="shared" si="25"/>
        <v>-10000000</v>
      </c>
      <c r="AY45" s="5"/>
      <c r="AZ45" s="5"/>
      <c r="BA45" s="5"/>
      <c r="BC45" s="5">
        <f t="shared" si="26"/>
        <v>0</v>
      </c>
      <c r="BD45" s="5">
        <f t="shared" si="27"/>
        <v>-10000000</v>
      </c>
      <c r="BE45" s="5"/>
      <c r="BF45" s="5"/>
      <c r="BG45" s="5"/>
      <c r="BI45" s="5">
        <f t="shared" si="28"/>
        <v>0</v>
      </c>
      <c r="BJ45" s="5">
        <f t="shared" si="29"/>
        <v>-10000000</v>
      </c>
      <c r="BK45" s="5"/>
      <c r="BL45" s="5"/>
      <c r="BM45" s="5"/>
      <c r="BO45" s="5">
        <f t="shared" si="30"/>
        <v>0</v>
      </c>
      <c r="BP45" s="5">
        <f t="shared" si="31"/>
        <v>-10000000</v>
      </c>
      <c r="BQ45" s="5"/>
      <c r="BR45" s="5"/>
      <c r="BS45" s="5"/>
      <c r="BU45" s="5">
        <f t="shared" si="32"/>
        <v>0</v>
      </c>
      <c r="BV45" s="5">
        <f t="shared" si="33"/>
        <v>-10000000</v>
      </c>
    </row>
    <row r="46" spans="1:74" s="11" customFormat="1">
      <c r="A46" s="11" t="s">
        <v>24</v>
      </c>
      <c r="B46" s="12">
        <v>1918435</v>
      </c>
      <c r="G46" s="12">
        <f t="shared" si="10"/>
        <v>0</v>
      </c>
      <c r="H46" s="12">
        <f>B46+G46</f>
        <v>1918435</v>
      </c>
      <c r="M46" s="12">
        <f t="shared" si="12"/>
        <v>0</v>
      </c>
      <c r="N46" s="12">
        <f t="shared" si="13"/>
        <v>1918435</v>
      </c>
      <c r="S46" s="12">
        <f t="shared" si="14"/>
        <v>0</v>
      </c>
      <c r="T46" s="12">
        <f t="shared" si="15"/>
        <v>1918435</v>
      </c>
      <c r="Y46" s="12">
        <f t="shared" si="16"/>
        <v>0</v>
      </c>
      <c r="Z46" s="12">
        <f t="shared" si="17"/>
        <v>1918435</v>
      </c>
      <c r="AE46" s="12">
        <f t="shared" si="18"/>
        <v>0</v>
      </c>
      <c r="AF46" s="12">
        <f t="shared" si="19"/>
        <v>1918435</v>
      </c>
      <c r="AG46" s="12"/>
      <c r="AH46" s="12"/>
      <c r="AI46" s="12"/>
      <c r="AJ46" s="12"/>
      <c r="AK46" s="12">
        <f t="shared" si="20"/>
        <v>0</v>
      </c>
      <c r="AL46" s="12">
        <f t="shared" si="21"/>
        <v>1918435</v>
      </c>
      <c r="AM46" s="12"/>
      <c r="AN46" s="12"/>
      <c r="AO46" s="12"/>
      <c r="AP46" s="12"/>
      <c r="AQ46" s="12">
        <f t="shared" si="22"/>
        <v>0</v>
      </c>
      <c r="AR46" s="12">
        <f t="shared" si="23"/>
        <v>1918435</v>
      </c>
      <c r="AS46" s="12"/>
      <c r="AT46" s="12"/>
      <c r="AU46" s="12"/>
      <c r="AV46" s="12"/>
      <c r="AW46" s="12">
        <f t="shared" si="24"/>
        <v>0</v>
      </c>
      <c r="AX46" s="12">
        <f t="shared" si="25"/>
        <v>1918435</v>
      </c>
      <c r="AY46" s="12"/>
      <c r="AZ46" s="12"/>
      <c r="BA46" s="12"/>
      <c r="BB46" s="12"/>
      <c r="BC46" s="12">
        <f t="shared" si="26"/>
        <v>0</v>
      </c>
      <c r="BD46" s="12">
        <f t="shared" si="27"/>
        <v>1918435</v>
      </c>
      <c r="BE46" s="12"/>
      <c r="BF46" s="12"/>
      <c r="BG46" s="12"/>
      <c r="BH46" s="12"/>
      <c r="BI46" s="12">
        <f t="shared" si="28"/>
        <v>0</v>
      </c>
      <c r="BJ46" s="12">
        <f t="shared" si="29"/>
        <v>1918435</v>
      </c>
      <c r="BK46" s="12"/>
      <c r="BL46" s="12"/>
      <c r="BM46" s="12"/>
      <c r="BN46" s="12"/>
      <c r="BO46" s="12">
        <f t="shared" si="30"/>
        <v>0</v>
      </c>
      <c r="BP46" s="12">
        <f t="shared" si="31"/>
        <v>1918435</v>
      </c>
      <c r="BQ46" s="12"/>
      <c r="BR46" s="12"/>
      <c r="BS46" s="12"/>
      <c r="BT46" s="12"/>
      <c r="BU46" s="12">
        <f t="shared" si="32"/>
        <v>0</v>
      </c>
      <c r="BV46" s="12">
        <f t="shared" si="33"/>
        <v>1918435</v>
      </c>
    </row>
    <row r="47" spans="1:74">
      <c r="A47" s="4" t="s">
        <v>124</v>
      </c>
      <c r="B47" s="9"/>
      <c r="C47" s="4">
        <v>-585396.02</v>
      </c>
      <c r="G47" s="5">
        <f t="shared" si="10"/>
        <v>-585396.02</v>
      </c>
      <c r="H47" s="5">
        <f t="shared" si="11"/>
        <v>-585396.02</v>
      </c>
      <c r="I47" s="4">
        <v>-1024471.6</v>
      </c>
      <c r="M47" s="5">
        <f t="shared" si="12"/>
        <v>-1024471.6</v>
      </c>
      <c r="N47" s="5">
        <f t="shared" si="13"/>
        <v>-1609867.62</v>
      </c>
      <c r="O47" s="4">
        <v>-994075.88</v>
      </c>
      <c r="S47" s="5">
        <f t="shared" si="14"/>
        <v>-994075.88</v>
      </c>
      <c r="T47" s="5">
        <f t="shared" si="15"/>
        <v>-2603943.5</v>
      </c>
      <c r="U47" s="4">
        <v>-570051.19999999995</v>
      </c>
      <c r="Y47" s="5">
        <f t="shared" si="16"/>
        <v>-570051.19999999995</v>
      </c>
      <c r="Z47" s="5">
        <f t="shared" si="17"/>
        <v>-3173994.7</v>
      </c>
      <c r="AA47" s="4">
        <v>-523123.10714285698</v>
      </c>
      <c r="AE47" s="5">
        <f t="shared" si="18"/>
        <v>-523123.10714285698</v>
      </c>
      <c r="AF47" s="5">
        <f t="shared" si="19"/>
        <v>-3697117.807142857</v>
      </c>
      <c r="AJ47" s="9"/>
      <c r="AK47" s="5">
        <f t="shared" si="20"/>
        <v>0</v>
      </c>
      <c r="AL47" s="5">
        <f t="shared" si="21"/>
        <v>-3697117.807142857</v>
      </c>
      <c r="AP47" s="9"/>
      <c r="AQ47" s="5">
        <f t="shared" si="22"/>
        <v>0</v>
      </c>
      <c r="AR47" s="5">
        <f t="shared" si="23"/>
        <v>-3697117.807142857</v>
      </c>
      <c r="AV47" s="9"/>
      <c r="AW47" s="5">
        <f>SUM(AS47:AV47)</f>
        <v>0</v>
      </c>
      <c r="AX47" s="5">
        <f t="shared" si="25"/>
        <v>-3697117.807142857</v>
      </c>
      <c r="BB47" s="9"/>
      <c r="BC47" s="5">
        <f>SUM(AY47:BB47)</f>
        <v>0</v>
      </c>
      <c r="BD47" s="5">
        <f t="shared" si="27"/>
        <v>-3697117.807142857</v>
      </c>
      <c r="BH47" s="9"/>
      <c r="BI47" s="5">
        <f>SUM(BE47:BH47)</f>
        <v>0</v>
      </c>
      <c r="BJ47" s="5">
        <f t="shared" si="29"/>
        <v>-3697117.807142857</v>
      </c>
      <c r="BN47" s="9"/>
      <c r="BO47" s="5">
        <f>SUM(BK47:BN47)</f>
        <v>0</v>
      </c>
      <c r="BP47" s="5">
        <f t="shared" si="31"/>
        <v>-3697117.807142857</v>
      </c>
      <c r="BT47" s="9"/>
      <c r="BU47" s="5">
        <f t="shared" ref="BU47:BU52" si="34">SUM(BQ47:BT47)</f>
        <v>0</v>
      </c>
      <c r="BV47" s="5">
        <f t="shared" si="33"/>
        <v>-3697117.807142857</v>
      </c>
    </row>
    <row r="48" spans="1:74" ht="11.25" customHeight="1">
      <c r="A48" s="4" t="s">
        <v>369</v>
      </c>
      <c r="B48" s="9"/>
      <c r="C48" s="4">
        <v>20245.54</v>
      </c>
      <c r="G48" s="5">
        <f t="shared" si="10"/>
        <v>20245.54</v>
      </c>
      <c r="H48" s="5">
        <f t="shared" si="11"/>
        <v>20245.54</v>
      </c>
      <c r="M48" s="5">
        <f t="shared" si="12"/>
        <v>0</v>
      </c>
      <c r="N48" s="5">
        <f t="shared" si="13"/>
        <v>20245.54</v>
      </c>
      <c r="O48" s="4">
        <v>10984.38</v>
      </c>
      <c r="S48" s="5">
        <f t="shared" si="14"/>
        <v>10984.38</v>
      </c>
      <c r="T48" s="5">
        <f t="shared" si="15"/>
        <v>31229.919999999998</v>
      </c>
      <c r="U48" s="4">
        <v>14775</v>
      </c>
      <c r="Y48" s="5">
        <f t="shared" si="16"/>
        <v>14775</v>
      </c>
      <c r="Z48" s="5">
        <f t="shared" si="17"/>
        <v>46004.92</v>
      </c>
      <c r="AA48" s="4">
        <v>38392.559999999998</v>
      </c>
      <c r="AE48" s="5">
        <f t="shared" si="18"/>
        <v>38392.559999999998</v>
      </c>
      <c r="AF48" s="5">
        <f t="shared" si="19"/>
        <v>84397.48</v>
      </c>
      <c r="AJ48" s="9"/>
      <c r="AK48" s="5">
        <f t="shared" si="20"/>
        <v>0</v>
      </c>
      <c r="AL48" s="5">
        <f t="shared" si="21"/>
        <v>84397.48</v>
      </c>
      <c r="AP48" s="9"/>
      <c r="AQ48" s="5">
        <f t="shared" si="22"/>
        <v>0</v>
      </c>
      <c r="AR48" s="5">
        <f t="shared" si="23"/>
        <v>84397.48</v>
      </c>
      <c r="AV48" s="9"/>
      <c r="AW48" s="5">
        <f>SUM(AS48:AV48)</f>
        <v>0</v>
      </c>
      <c r="AX48" s="5">
        <f>AR48+AW48</f>
        <v>84397.48</v>
      </c>
      <c r="BB48" s="9"/>
      <c r="BC48" s="5">
        <f>SUM(AY48:BB48)</f>
        <v>0</v>
      </c>
      <c r="BD48" s="5">
        <f>AX48+BC48</f>
        <v>84397.48</v>
      </c>
      <c r="BH48" s="9"/>
      <c r="BI48" s="5">
        <f>SUM(BE48:BH48)</f>
        <v>0</v>
      </c>
      <c r="BJ48" s="5">
        <f>BD48+BI48</f>
        <v>84397.48</v>
      </c>
      <c r="BN48" s="9"/>
      <c r="BO48" s="5">
        <f t="shared" ref="BO48:BO53" si="35">SUM(BK48:BN48)</f>
        <v>0</v>
      </c>
      <c r="BP48" s="5">
        <f t="shared" ref="BP48:BP53" si="36">BJ48+BO48</f>
        <v>84397.48</v>
      </c>
      <c r="BT48" s="9"/>
      <c r="BU48" s="5">
        <f t="shared" si="34"/>
        <v>0</v>
      </c>
      <c r="BV48" s="5">
        <f>BP48+BU48</f>
        <v>84397.48</v>
      </c>
    </row>
    <row r="49" spans="1:74">
      <c r="A49" s="4" t="s">
        <v>253</v>
      </c>
      <c r="B49" s="9"/>
      <c r="G49" s="5">
        <f t="shared" si="10"/>
        <v>0</v>
      </c>
      <c r="H49" s="5">
        <f t="shared" si="11"/>
        <v>0</v>
      </c>
      <c r="J49" s="4">
        <v>2558.7199999999998</v>
      </c>
      <c r="M49" s="5">
        <f t="shared" si="12"/>
        <v>2558.7199999999998</v>
      </c>
      <c r="N49" s="5">
        <f t="shared" si="13"/>
        <v>2558.7199999999998</v>
      </c>
      <c r="P49" s="4">
        <v>1357.37</v>
      </c>
      <c r="S49" s="5">
        <f t="shared" si="14"/>
        <v>1357.37</v>
      </c>
      <c r="T49" s="5">
        <f t="shared" si="15"/>
        <v>3916.0899999999997</v>
      </c>
      <c r="V49" s="4">
        <v>799.11</v>
      </c>
      <c r="Y49" s="5">
        <f t="shared" si="16"/>
        <v>799.11</v>
      </c>
      <c r="Z49" s="5">
        <f>T49+Y49</f>
        <v>4715.2</v>
      </c>
      <c r="AE49" s="5">
        <f t="shared" si="18"/>
        <v>0</v>
      </c>
      <c r="AF49" s="5">
        <f t="shared" si="19"/>
        <v>4715.2</v>
      </c>
      <c r="AK49" s="5">
        <f t="shared" si="20"/>
        <v>0</v>
      </c>
      <c r="AL49" s="5">
        <f t="shared" si="21"/>
        <v>4715.2</v>
      </c>
      <c r="AQ49" s="5">
        <f t="shared" si="22"/>
        <v>0</v>
      </c>
      <c r="AR49" s="5">
        <f t="shared" si="23"/>
        <v>4715.2</v>
      </c>
      <c r="AW49" s="5">
        <f>SUM(AS49:AV49)</f>
        <v>0</v>
      </c>
      <c r="AX49" s="5">
        <f>AR49+AW49</f>
        <v>4715.2</v>
      </c>
      <c r="BC49" s="5">
        <f>SUM(AY49:BB49)</f>
        <v>0</v>
      </c>
      <c r="BD49" s="5">
        <f>AX49+BC49</f>
        <v>4715.2</v>
      </c>
      <c r="BI49" s="5">
        <f>SUM(BE49:BH49)</f>
        <v>0</v>
      </c>
      <c r="BJ49" s="5">
        <f>BD49+BI49</f>
        <v>4715.2</v>
      </c>
      <c r="BO49" s="5">
        <f t="shared" si="35"/>
        <v>0</v>
      </c>
      <c r="BP49" s="5">
        <f t="shared" si="36"/>
        <v>4715.2</v>
      </c>
      <c r="BU49" s="5">
        <f t="shared" si="34"/>
        <v>0</v>
      </c>
      <c r="BV49" s="5">
        <f>BP49+BU49</f>
        <v>4715.2</v>
      </c>
    </row>
    <row r="50" spans="1:74" hidden="1">
      <c r="A50" s="4" t="s">
        <v>125</v>
      </c>
      <c r="B50" s="9"/>
      <c r="G50" s="5">
        <f t="shared" si="10"/>
        <v>0</v>
      </c>
      <c r="H50" s="5">
        <f t="shared" si="11"/>
        <v>0</v>
      </c>
      <c r="M50" s="5">
        <f t="shared" si="12"/>
        <v>0</v>
      </c>
      <c r="N50" s="5">
        <f t="shared" si="13"/>
        <v>0</v>
      </c>
      <c r="S50" s="5">
        <f t="shared" si="14"/>
        <v>0</v>
      </c>
      <c r="T50" s="5">
        <f t="shared" si="15"/>
        <v>0</v>
      </c>
      <c r="Y50" s="5">
        <f t="shared" si="16"/>
        <v>0</v>
      </c>
      <c r="Z50" s="5">
        <f t="shared" si="17"/>
        <v>0</v>
      </c>
      <c r="AE50" s="5">
        <f t="shared" si="18"/>
        <v>0</v>
      </c>
      <c r="AF50" s="5">
        <f t="shared" si="19"/>
        <v>0</v>
      </c>
      <c r="AG50" s="5"/>
      <c r="AH50" s="5"/>
      <c r="AI50" s="5"/>
      <c r="AK50" s="5">
        <f t="shared" si="20"/>
        <v>0</v>
      </c>
      <c r="AL50" s="5">
        <f t="shared" si="21"/>
        <v>0</v>
      </c>
      <c r="AM50" s="5"/>
      <c r="AN50" s="5"/>
      <c r="AO50" s="5"/>
      <c r="AQ50" s="5">
        <f t="shared" si="22"/>
        <v>0</v>
      </c>
      <c r="AR50" s="5">
        <f t="shared" si="23"/>
        <v>0</v>
      </c>
      <c r="AS50" s="5"/>
      <c r="AT50" s="5"/>
      <c r="AU50" s="5"/>
      <c r="AW50" s="5">
        <f>SUM(AS50:AV50)</f>
        <v>0</v>
      </c>
      <c r="AX50" s="5">
        <f>AR50+AW50</f>
        <v>0</v>
      </c>
      <c r="AY50" s="5"/>
      <c r="AZ50" s="5"/>
      <c r="BA50" s="5"/>
      <c r="BC50" s="5">
        <f t="shared" ref="BC50:BC60" si="37">SUM(AY50:BB50)</f>
        <v>0</v>
      </c>
      <c r="BD50" s="5">
        <f>AX50+BC50</f>
        <v>0</v>
      </c>
      <c r="BE50" s="5"/>
      <c r="BF50" s="5"/>
      <c r="BG50" s="5"/>
      <c r="BI50" s="5">
        <f t="shared" ref="BI50:BI60" si="38">SUM(BE50:BH50)</f>
        <v>0</v>
      </c>
      <c r="BJ50" s="5">
        <f t="shared" si="29"/>
        <v>0</v>
      </c>
      <c r="BK50" s="5"/>
      <c r="BL50" s="5"/>
      <c r="BM50" s="5"/>
      <c r="BO50" s="5">
        <f t="shared" si="35"/>
        <v>0</v>
      </c>
      <c r="BP50" s="5">
        <f t="shared" si="36"/>
        <v>0</v>
      </c>
      <c r="BQ50" s="5"/>
      <c r="BR50" s="5"/>
      <c r="BS50" s="5"/>
      <c r="BU50" s="5">
        <f t="shared" si="34"/>
        <v>0</v>
      </c>
      <c r="BV50" s="5">
        <f>BP50+BU50</f>
        <v>0</v>
      </c>
    </row>
    <row r="51" spans="1:74">
      <c r="A51" s="4" t="s">
        <v>126</v>
      </c>
      <c r="B51" s="9"/>
      <c r="G51" s="5">
        <f t="shared" si="10"/>
        <v>0</v>
      </c>
      <c r="H51" s="5">
        <f t="shared" si="11"/>
        <v>0</v>
      </c>
      <c r="M51" s="5">
        <f t="shared" si="12"/>
        <v>0</v>
      </c>
      <c r="N51" s="5">
        <f t="shared" si="13"/>
        <v>0</v>
      </c>
      <c r="S51" s="5">
        <f t="shared" si="14"/>
        <v>0</v>
      </c>
      <c r="T51" s="5">
        <f t="shared" si="15"/>
        <v>0</v>
      </c>
      <c r="Y51" s="5">
        <f t="shared" si="16"/>
        <v>0</v>
      </c>
      <c r="Z51" s="5">
        <f t="shared" si="17"/>
        <v>0</v>
      </c>
      <c r="AE51" s="5">
        <f t="shared" si="18"/>
        <v>0</v>
      </c>
      <c r="AF51" s="5">
        <f t="shared" si="19"/>
        <v>0</v>
      </c>
      <c r="AG51" s="5"/>
      <c r="AH51" s="5"/>
      <c r="AI51" s="5"/>
      <c r="AK51" s="5">
        <f t="shared" si="20"/>
        <v>0</v>
      </c>
      <c r="AL51" s="5">
        <f t="shared" si="21"/>
        <v>0</v>
      </c>
      <c r="AM51" s="5"/>
      <c r="AN51" s="5"/>
      <c r="AO51" s="5"/>
      <c r="AQ51" s="5">
        <f t="shared" si="22"/>
        <v>0</v>
      </c>
      <c r="AR51" s="5">
        <f t="shared" si="23"/>
        <v>0</v>
      </c>
      <c r="AS51" s="5"/>
      <c r="AT51" s="5"/>
      <c r="AU51" s="5"/>
      <c r="AW51" s="5">
        <f>SUM(AS51:AV51)</f>
        <v>0</v>
      </c>
      <c r="AX51" s="5">
        <f>AR51+AW51</f>
        <v>0</v>
      </c>
      <c r="AY51" s="5"/>
      <c r="AZ51" s="5"/>
      <c r="BA51" s="5"/>
      <c r="BC51" s="5">
        <f t="shared" si="37"/>
        <v>0</v>
      </c>
      <c r="BD51" s="5">
        <f>AX51+BC51</f>
        <v>0</v>
      </c>
      <c r="BE51" s="5"/>
      <c r="BF51" s="5"/>
      <c r="BG51" s="5"/>
      <c r="BI51" s="5">
        <f t="shared" si="38"/>
        <v>0</v>
      </c>
      <c r="BJ51" s="5">
        <f t="shared" si="29"/>
        <v>0</v>
      </c>
      <c r="BK51" s="5"/>
      <c r="BL51" s="5"/>
      <c r="BM51" s="5"/>
      <c r="BO51" s="5">
        <f t="shared" si="35"/>
        <v>0</v>
      </c>
      <c r="BP51" s="5">
        <f t="shared" si="36"/>
        <v>0</v>
      </c>
      <c r="BQ51" s="5"/>
      <c r="BR51" s="5"/>
      <c r="BS51" s="5"/>
      <c r="BU51" s="5">
        <f t="shared" si="34"/>
        <v>0</v>
      </c>
      <c r="BV51" s="5">
        <f>BP51+BU51</f>
        <v>0</v>
      </c>
    </row>
    <row r="52" spans="1:74">
      <c r="A52" s="4" t="s">
        <v>127</v>
      </c>
      <c r="B52" s="9"/>
      <c r="C52" s="9">
        <v>-111583.26</v>
      </c>
      <c r="G52" s="5">
        <f t="shared" si="10"/>
        <v>-111583.26</v>
      </c>
      <c r="H52" s="5">
        <f t="shared" si="11"/>
        <v>-111583.26</v>
      </c>
      <c r="I52" s="4">
        <v>-101561.61</v>
      </c>
      <c r="M52" s="5">
        <f t="shared" si="12"/>
        <v>-101561.61</v>
      </c>
      <c r="N52" s="5">
        <f t="shared" si="13"/>
        <v>-213144.87</v>
      </c>
      <c r="O52" s="4">
        <v>-189655.96</v>
      </c>
      <c r="S52" s="5">
        <f t="shared" si="14"/>
        <v>-189655.96</v>
      </c>
      <c r="T52" s="5">
        <f t="shared" si="15"/>
        <v>-402800.82999999996</v>
      </c>
      <c r="U52" s="4">
        <v>-104031.25</v>
      </c>
      <c r="Y52" s="5">
        <f t="shared" si="16"/>
        <v>-104031.25</v>
      </c>
      <c r="Z52" s="5">
        <f t="shared" si="17"/>
        <v>-506832.07999999996</v>
      </c>
      <c r="AA52" s="4">
        <v>-91951.63</v>
      </c>
      <c r="AE52" s="5">
        <f t="shared" si="18"/>
        <v>-91951.63</v>
      </c>
      <c r="AF52" s="5">
        <f t="shared" si="19"/>
        <v>-598783.71</v>
      </c>
      <c r="AK52" s="5">
        <f t="shared" si="20"/>
        <v>0</v>
      </c>
      <c r="AL52" s="5">
        <f t="shared" si="21"/>
        <v>-598783.71</v>
      </c>
      <c r="AQ52" s="5">
        <f t="shared" si="22"/>
        <v>0</v>
      </c>
      <c r="AR52" s="5">
        <f t="shared" si="23"/>
        <v>-598783.71</v>
      </c>
      <c r="AW52" s="5">
        <f t="shared" ref="AW52:AW60" si="39">SUM(AS52:AV52)</f>
        <v>0</v>
      </c>
      <c r="AX52" s="5">
        <f t="shared" si="25"/>
        <v>-598783.71</v>
      </c>
      <c r="BC52" s="5">
        <f t="shared" si="37"/>
        <v>0</v>
      </c>
      <c r="BD52" s="5">
        <f>AX52+BC52</f>
        <v>-598783.71</v>
      </c>
      <c r="BI52" s="5">
        <f t="shared" si="38"/>
        <v>0</v>
      </c>
      <c r="BJ52" s="5">
        <f t="shared" si="29"/>
        <v>-598783.71</v>
      </c>
      <c r="BO52" s="5">
        <f>SUM(BK52:BN52)</f>
        <v>0</v>
      </c>
      <c r="BP52" s="5">
        <f t="shared" si="36"/>
        <v>-598783.71</v>
      </c>
      <c r="BU52" s="5">
        <f t="shared" si="34"/>
        <v>0</v>
      </c>
      <c r="BV52" s="5">
        <f>BP52+BU52</f>
        <v>-598783.71</v>
      </c>
    </row>
    <row r="53" spans="1:74">
      <c r="A53" s="4" t="s">
        <v>128</v>
      </c>
      <c r="C53" s="4">
        <v>-6517.86</v>
      </c>
      <c r="G53" s="5">
        <f t="shared" si="10"/>
        <v>-6517.86</v>
      </c>
      <c r="H53" s="5">
        <f t="shared" si="11"/>
        <v>-6517.86</v>
      </c>
      <c r="I53" s="4">
        <v>-10205.36</v>
      </c>
      <c r="M53" s="5">
        <f t="shared" si="12"/>
        <v>-10205.36</v>
      </c>
      <c r="N53" s="5">
        <f t="shared" si="13"/>
        <v>-16723.22</v>
      </c>
      <c r="O53" s="4">
        <v>-44622.76</v>
      </c>
      <c r="S53" s="5">
        <f t="shared" si="14"/>
        <v>-44622.76</v>
      </c>
      <c r="T53" s="5">
        <f t="shared" si="15"/>
        <v>-61345.98</v>
      </c>
      <c r="U53" s="4">
        <v>-1071.43</v>
      </c>
      <c r="Y53" s="5">
        <f t="shared" si="16"/>
        <v>-1071.43</v>
      </c>
      <c r="Z53" s="5">
        <f t="shared" si="17"/>
        <v>-62417.41</v>
      </c>
      <c r="AA53" s="4">
        <v>-6816.96</v>
      </c>
      <c r="AE53" s="5">
        <f t="shared" si="18"/>
        <v>-6816.96</v>
      </c>
      <c r="AF53" s="5">
        <f t="shared" si="19"/>
        <v>-69234.37000000001</v>
      </c>
      <c r="AK53" s="5">
        <f t="shared" si="20"/>
        <v>0</v>
      </c>
      <c r="AL53" s="5">
        <f t="shared" si="21"/>
        <v>-69234.37000000001</v>
      </c>
      <c r="AQ53" s="5">
        <f t="shared" si="22"/>
        <v>0</v>
      </c>
      <c r="AR53" s="5">
        <f t="shared" si="23"/>
        <v>-69234.37000000001</v>
      </c>
      <c r="AW53" s="5">
        <f t="shared" si="39"/>
        <v>0</v>
      </c>
      <c r="AX53" s="5">
        <f t="shared" si="25"/>
        <v>-69234.37000000001</v>
      </c>
      <c r="BC53" s="5">
        <f t="shared" si="37"/>
        <v>0</v>
      </c>
      <c r="BD53" s="5">
        <f t="shared" si="27"/>
        <v>-69234.37000000001</v>
      </c>
      <c r="BI53" s="5">
        <f t="shared" si="38"/>
        <v>0</v>
      </c>
      <c r="BJ53" s="5">
        <f t="shared" si="29"/>
        <v>-69234.37000000001</v>
      </c>
      <c r="BO53" s="5">
        <f t="shared" si="35"/>
        <v>0</v>
      </c>
      <c r="BP53" s="5">
        <f t="shared" si="36"/>
        <v>-69234.37000000001</v>
      </c>
      <c r="BU53" s="5">
        <f t="shared" ref="BU53:BU60" si="40">SUM(BQ53:BT53)</f>
        <v>0</v>
      </c>
      <c r="BV53" s="5">
        <f t="shared" si="33"/>
        <v>-69234.37000000001</v>
      </c>
    </row>
    <row r="54" spans="1:74">
      <c r="A54" s="4" t="s">
        <v>129</v>
      </c>
      <c r="B54" s="9"/>
      <c r="F54" s="4">
        <v>-303.8648</v>
      </c>
      <c r="G54" s="5">
        <f t="shared" si="10"/>
        <v>-303.8648</v>
      </c>
      <c r="H54" s="5">
        <f t="shared" si="11"/>
        <v>-303.8648</v>
      </c>
      <c r="L54" s="4">
        <v>-407.54</v>
      </c>
      <c r="M54" s="5">
        <f t="shared" si="12"/>
        <v>-407.54</v>
      </c>
      <c r="N54" s="5">
        <f t="shared" si="13"/>
        <v>-711.40480000000002</v>
      </c>
      <c r="R54" s="4">
        <v>-535.88</v>
      </c>
      <c r="S54" s="5">
        <f t="shared" si="14"/>
        <v>-535.88</v>
      </c>
      <c r="T54" s="5">
        <f t="shared" si="15"/>
        <v>-1247.2847999999999</v>
      </c>
      <c r="X54" s="4">
        <v>-540.84</v>
      </c>
      <c r="Y54" s="5">
        <f t="shared" si="16"/>
        <v>-540.84</v>
      </c>
      <c r="Z54" s="5">
        <f t="shared" si="17"/>
        <v>-1788.1248000000001</v>
      </c>
      <c r="AD54" s="4">
        <f>-524.5864</f>
        <v>-524.58640000000003</v>
      </c>
      <c r="AE54" s="5">
        <f t="shared" si="18"/>
        <v>-524.58640000000003</v>
      </c>
      <c r="AF54" s="5">
        <f t="shared" si="19"/>
        <v>-2312.7112000000002</v>
      </c>
      <c r="AK54" s="5">
        <f t="shared" si="20"/>
        <v>0</v>
      </c>
      <c r="AL54" s="5">
        <f t="shared" si="21"/>
        <v>-2312.7112000000002</v>
      </c>
      <c r="AQ54" s="5">
        <f t="shared" si="22"/>
        <v>0</v>
      </c>
      <c r="AR54" s="5">
        <f t="shared" si="23"/>
        <v>-2312.7112000000002</v>
      </c>
      <c r="AW54" s="5">
        <f t="shared" si="39"/>
        <v>0</v>
      </c>
      <c r="AX54" s="5">
        <f t="shared" si="25"/>
        <v>-2312.7112000000002</v>
      </c>
      <c r="BC54" s="5">
        <f t="shared" si="37"/>
        <v>0</v>
      </c>
      <c r="BD54" s="5">
        <f t="shared" si="27"/>
        <v>-2312.7112000000002</v>
      </c>
      <c r="BI54" s="5">
        <f t="shared" si="38"/>
        <v>0</v>
      </c>
      <c r="BJ54" s="5">
        <f t="shared" si="29"/>
        <v>-2312.7112000000002</v>
      </c>
      <c r="BO54" s="5">
        <f t="shared" ref="BO54:BO60" si="41">SUM(BK54:BN54)</f>
        <v>0</v>
      </c>
      <c r="BP54" s="5">
        <f t="shared" si="31"/>
        <v>-2312.7112000000002</v>
      </c>
      <c r="BU54" s="5">
        <f t="shared" si="40"/>
        <v>0</v>
      </c>
      <c r="BV54" s="5">
        <f t="shared" si="33"/>
        <v>-2312.7112000000002</v>
      </c>
    </row>
    <row r="55" spans="1:74" ht="2.25" customHeight="1">
      <c r="B55" s="9"/>
      <c r="G55" s="5">
        <f t="shared" si="10"/>
        <v>0</v>
      </c>
      <c r="H55" s="5">
        <f t="shared" si="11"/>
        <v>0</v>
      </c>
      <c r="M55" s="5">
        <f t="shared" si="12"/>
        <v>0</v>
      </c>
      <c r="N55" s="5">
        <f t="shared" si="13"/>
        <v>0</v>
      </c>
      <c r="S55" s="5">
        <f t="shared" si="14"/>
        <v>0</v>
      </c>
      <c r="T55" s="5">
        <f t="shared" si="15"/>
        <v>0</v>
      </c>
      <c r="Y55" s="5">
        <f t="shared" si="16"/>
        <v>0</v>
      </c>
      <c r="Z55" s="5">
        <f t="shared" si="17"/>
        <v>0</v>
      </c>
      <c r="AE55" s="5">
        <f t="shared" si="18"/>
        <v>0</v>
      </c>
      <c r="AF55" s="5">
        <f t="shared" si="19"/>
        <v>0</v>
      </c>
      <c r="AK55" s="5">
        <f t="shared" si="20"/>
        <v>0</v>
      </c>
      <c r="AL55" s="5">
        <f t="shared" si="21"/>
        <v>0</v>
      </c>
      <c r="AQ55" s="5">
        <f t="shared" si="22"/>
        <v>0</v>
      </c>
      <c r="AR55" s="5">
        <f t="shared" si="23"/>
        <v>0</v>
      </c>
      <c r="AW55" s="5">
        <f t="shared" si="39"/>
        <v>0</v>
      </c>
      <c r="AX55" s="5">
        <f t="shared" si="25"/>
        <v>0</v>
      </c>
      <c r="BC55" s="5">
        <f t="shared" si="37"/>
        <v>0</v>
      </c>
      <c r="BD55" s="5">
        <f t="shared" si="27"/>
        <v>0</v>
      </c>
      <c r="BI55" s="5">
        <f t="shared" si="38"/>
        <v>0</v>
      </c>
      <c r="BJ55" s="5">
        <f t="shared" si="29"/>
        <v>0</v>
      </c>
      <c r="BO55" s="5">
        <f t="shared" si="41"/>
        <v>0</v>
      </c>
      <c r="BP55" s="5">
        <f t="shared" si="31"/>
        <v>0</v>
      </c>
      <c r="BU55" s="5">
        <f t="shared" si="40"/>
        <v>0</v>
      </c>
      <c r="BV55" s="5">
        <f t="shared" si="33"/>
        <v>0</v>
      </c>
    </row>
    <row r="56" spans="1:74">
      <c r="A56" s="4" t="s">
        <v>130</v>
      </c>
      <c r="B56" s="9"/>
      <c r="F56" s="5">
        <v>385964.02747999999</v>
      </c>
      <c r="G56" s="5">
        <f t="shared" si="10"/>
        <v>385964.02747999999</v>
      </c>
      <c r="H56" s="5">
        <f t="shared" si="11"/>
        <v>385964.02747999999</v>
      </c>
      <c r="L56" s="5">
        <v>650004.01335000002</v>
      </c>
      <c r="M56" s="5">
        <f t="shared" si="12"/>
        <v>650004.01335000002</v>
      </c>
      <c r="N56" s="5">
        <f>H56+M56</f>
        <v>1035968.0408300001</v>
      </c>
      <c r="R56" s="4">
        <v>624524.64231999998</v>
      </c>
      <c r="S56" s="5">
        <f t="shared" si="14"/>
        <v>624524.64231999998</v>
      </c>
      <c r="T56" s="5">
        <f t="shared" si="15"/>
        <v>1660492.6831499999</v>
      </c>
      <c r="X56" s="4">
        <v>370528.09787000011</v>
      </c>
      <c r="Y56" s="5">
        <f t="shared" si="16"/>
        <v>370528.09787000011</v>
      </c>
      <c r="Z56" s="5">
        <f t="shared" si="17"/>
        <v>2031020.7810200001</v>
      </c>
      <c r="AD56" s="4">
        <v>320726.75991000014</v>
      </c>
      <c r="AE56" s="5">
        <f t="shared" si="18"/>
        <v>320726.75991000014</v>
      </c>
      <c r="AF56" s="5">
        <f t="shared" si="19"/>
        <v>2351747.5409300001</v>
      </c>
      <c r="AK56" s="5">
        <f t="shared" si="20"/>
        <v>0</v>
      </c>
      <c r="AL56" s="5">
        <f t="shared" si="21"/>
        <v>2351747.5409300001</v>
      </c>
      <c r="AQ56" s="5">
        <f t="shared" si="22"/>
        <v>0</v>
      </c>
      <c r="AR56" s="5">
        <f t="shared" si="23"/>
        <v>2351747.5409300001</v>
      </c>
      <c r="AW56" s="5">
        <f t="shared" si="39"/>
        <v>0</v>
      </c>
      <c r="AX56" s="5">
        <f t="shared" si="25"/>
        <v>2351747.5409300001</v>
      </c>
      <c r="BC56" s="5">
        <f t="shared" si="37"/>
        <v>0</v>
      </c>
      <c r="BD56" s="5">
        <f t="shared" si="27"/>
        <v>2351747.5409300001</v>
      </c>
      <c r="BI56" s="5">
        <f t="shared" si="38"/>
        <v>0</v>
      </c>
      <c r="BJ56" s="5">
        <f t="shared" si="29"/>
        <v>2351747.5409300001</v>
      </c>
      <c r="BO56" s="5">
        <f t="shared" si="41"/>
        <v>0</v>
      </c>
      <c r="BP56" s="5">
        <f t="shared" si="31"/>
        <v>2351747.5409300001</v>
      </c>
      <c r="BU56" s="5">
        <f t="shared" si="40"/>
        <v>0</v>
      </c>
      <c r="BV56" s="5">
        <f t="shared" si="33"/>
        <v>2351747.5409300001</v>
      </c>
    </row>
    <row r="57" spans="1:74">
      <c r="A57" s="4" t="s">
        <v>131</v>
      </c>
      <c r="B57" s="9"/>
      <c r="C57" s="5"/>
      <c r="D57" s="5"/>
      <c r="F57" s="5">
        <v>892.85714285714278</v>
      </c>
      <c r="G57" s="5">
        <f t="shared" si="10"/>
        <v>892.85714285714278</v>
      </c>
      <c r="H57" s="5">
        <f t="shared" si="11"/>
        <v>892.85714285714278</v>
      </c>
      <c r="I57" s="5"/>
      <c r="J57" s="5"/>
      <c r="K57" s="4">
        <v>1540.18</v>
      </c>
      <c r="L57" s="4">
        <v>2515.89</v>
      </c>
      <c r="M57" s="5">
        <f t="shared" si="12"/>
        <v>4056.0699999999997</v>
      </c>
      <c r="N57" s="5">
        <f t="shared" si="13"/>
        <v>4948.9271428571428</v>
      </c>
      <c r="Q57" s="4">
        <v>5571.43</v>
      </c>
      <c r="R57" s="4">
        <v>3811.61</v>
      </c>
      <c r="S57" s="5">
        <f t="shared" si="14"/>
        <v>9383.0400000000009</v>
      </c>
      <c r="T57" s="5">
        <f t="shared" si="15"/>
        <v>14331.967142857144</v>
      </c>
      <c r="W57" s="4">
        <v>20370.990000000002</v>
      </c>
      <c r="X57" s="4">
        <v>7039.2857142857138</v>
      </c>
      <c r="Y57" s="5">
        <f t="shared" si="16"/>
        <v>27410.275714285715</v>
      </c>
      <c r="Z57" s="5">
        <f t="shared" si="17"/>
        <v>41742.242857142861</v>
      </c>
      <c r="AC57" s="4">
        <v>14640.63</v>
      </c>
      <c r="AD57" s="4">
        <v>3750.94</v>
      </c>
      <c r="AE57" s="5">
        <f t="shared" si="18"/>
        <v>18391.57</v>
      </c>
      <c r="AF57" s="5">
        <f t="shared" si="19"/>
        <v>60133.812857142861</v>
      </c>
      <c r="AG57" s="5"/>
      <c r="AH57" s="5"/>
      <c r="AI57" s="5"/>
      <c r="AK57" s="5">
        <f t="shared" si="20"/>
        <v>0</v>
      </c>
      <c r="AL57" s="5">
        <f t="shared" si="21"/>
        <v>60133.812857142861</v>
      </c>
      <c r="AM57" s="5"/>
      <c r="AN57" s="5"/>
      <c r="AO57" s="5"/>
      <c r="AQ57" s="5">
        <f t="shared" si="22"/>
        <v>0</v>
      </c>
      <c r="AR57" s="5">
        <f t="shared" si="23"/>
        <v>60133.812857142861</v>
      </c>
      <c r="AS57" s="5"/>
      <c r="AT57" s="5"/>
      <c r="AU57" s="5"/>
      <c r="AW57" s="5">
        <f t="shared" si="39"/>
        <v>0</v>
      </c>
      <c r="AX57" s="5">
        <f t="shared" si="25"/>
        <v>60133.812857142861</v>
      </c>
      <c r="AY57" s="5"/>
      <c r="AZ57" s="5"/>
      <c r="BA57" s="5"/>
      <c r="BC57" s="5">
        <f t="shared" si="37"/>
        <v>0</v>
      </c>
      <c r="BD57" s="5">
        <f t="shared" si="27"/>
        <v>60133.812857142861</v>
      </c>
      <c r="BE57" s="5"/>
      <c r="BF57" s="5"/>
      <c r="BG57" s="5"/>
      <c r="BI57" s="5">
        <f t="shared" si="38"/>
        <v>0</v>
      </c>
      <c r="BJ57" s="5">
        <f t="shared" si="29"/>
        <v>60133.812857142861</v>
      </c>
      <c r="BK57" s="5"/>
      <c r="BL57" s="5"/>
      <c r="BM57" s="5"/>
      <c r="BO57" s="5">
        <f t="shared" si="41"/>
        <v>0</v>
      </c>
      <c r="BP57" s="5">
        <f t="shared" si="31"/>
        <v>60133.812857142861</v>
      </c>
      <c r="BQ57" s="5"/>
      <c r="BR57" s="5"/>
      <c r="BS57" s="5"/>
      <c r="BU57" s="5">
        <f t="shared" si="40"/>
        <v>0</v>
      </c>
      <c r="BV57" s="5">
        <f t="shared" si="33"/>
        <v>60133.812857142861</v>
      </c>
    </row>
    <row r="58" spans="1:74" ht="2.25" customHeight="1">
      <c r="B58" s="9"/>
      <c r="G58" s="5">
        <f t="shared" si="10"/>
        <v>0</v>
      </c>
      <c r="H58" s="5">
        <f t="shared" si="11"/>
        <v>0</v>
      </c>
      <c r="M58" s="5">
        <f t="shared" si="12"/>
        <v>0</v>
      </c>
      <c r="N58" s="5">
        <f t="shared" si="13"/>
        <v>0</v>
      </c>
      <c r="S58" s="5">
        <f t="shared" si="14"/>
        <v>0</v>
      </c>
      <c r="T58" s="5">
        <f t="shared" si="15"/>
        <v>0</v>
      </c>
      <c r="Y58" s="5">
        <f t="shared" si="16"/>
        <v>0</v>
      </c>
      <c r="Z58" s="5">
        <f t="shared" si="17"/>
        <v>0</v>
      </c>
      <c r="AE58" s="5">
        <f t="shared" si="18"/>
        <v>0</v>
      </c>
      <c r="AF58" s="5">
        <f t="shared" si="19"/>
        <v>0</v>
      </c>
      <c r="AK58" s="5">
        <f t="shared" si="20"/>
        <v>0</v>
      </c>
      <c r="AL58" s="5">
        <f t="shared" si="21"/>
        <v>0</v>
      </c>
      <c r="AQ58" s="5">
        <f t="shared" si="22"/>
        <v>0</v>
      </c>
      <c r="AR58" s="5">
        <f t="shared" si="23"/>
        <v>0</v>
      </c>
      <c r="AW58" s="5">
        <f t="shared" si="39"/>
        <v>0</v>
      </c>
      <c r="AX58" s="5">
        <f t="shared" si="25"/>
        <v>0</v>
      </c>
      <c r="BC58" s="5">
        <f t="shared" si="37"/>
        <v>0</v>
      </c>
      <c r="BD58" s="5">
        <f t="shared" si="27"/>
        <v>0</v>
      </c>
      <c r="BI58" s="5">
        <f t="shared" si="38"/>
        <v>0</v>
      </c>
      <c r="BJ58" s="5">
        <f t="shared" si="29"/>
        <v>0</v>
      </c>
      <c r="BO58" s="5">
        <f t="shared" si="41"/>
        <v>0</v>
      </c>
      <c r="BP58" s="5">
        <f t="shared" si="31"/>
        <v>0</v>
      </c>
      <c r="BU58" s="5">
        <f t="shared" si="40"/>
        <v>0</v>
      </c>
      <c r="BV58" s="5">
        <f t="shared" si="33"/>
        <v>0</v>
      </c>
    </row>
    <row r="59" spans="1:74">
      <c r="A59" s="4" t="s">
        <v>132</v>
      </c>
      <c r="B59" s="9"/>
      <c r="E59" s="5"/>
      <c r="F59" s="4">
        <v>122671.6</v>
      </c>
      <c r="G59" s="5">
        <f t="shared" si="10"/>
        <v>122671.6</v>
      </c>
      <c r="H59" s="5">
        <f t="shared" si="11"/>
        <v>122671.6</v>
      </c>
      <c r="K59" s="5"/>
      <c r="L59" s="4">
        <v>149454.5</v>
      </c>
      <c r="M59" s="5">
        <f t="shared" si="12"/>
        <v>149454.5</v>
      </c>
      <c r="N59" s="5">
        <f t="shared" si="13"/>
        <v>272126.09999999998</v>
      </c>
      <c r="R59" s="4">
        <f>145797.52</f>
        <v>145797.51999999999</v>
      </c>
      <c r="S59" s="5">
        <f t="shared" si="14"/>
        <v>145797.51999999999</v>
      </c>
      <c r="T59" s="5">
        <f t="shared" si="15"/>
        <v>417923.62</v>
      </c>
      <c r="X59" s="4">
        <v>154218.60999999999</v>
      </c>
      <c r="Y59" s="5">
        <f t="shared" si="16"/>
        <v>154218.60999999999</v>
      </c>
      <c r="Z59" s="5">
        <f t="shared" si="17"/>
        <v>572142.23</v>
      </c>
      <c r="AD59" s="4">
        <v>167122.32999999999</v>
      </c>
      <c r="AE59" s="5">
        <f t="shared" si="18"/>
        <v>167122.32999999999</v>
      </c>
      <c r="AF59" s="5">
        <f t="shared" si="19"/>
        <v>739264.55999999994</v>
      </c>
      <c r="AK59" s="5">
        <f t="shared" si="20"/>
        <v>0</v>
      </c>
      <c r="AL59" s="5">
        <f t="shared" si="21"/>
        <v>739264.55999999994</v>
      </c>
      <c r="AQ59" s="5">
        <f t="shared" si="22"/>
        <v>0</v>
      </c>
      <c r="AR59" s="5">
        <f t="shared" si="23"/>
        <v>739264.55999999994</v>
      </c>
      <c r="AW59" s="5">
        <f t="shared" si="39"/>
        <v>0</v>
      </c>
      <c r="AX59" s="5">
        <f t="shared" si="25"/>
        <v>739264.55999999994</v>
      </c>
      <c r="BC59" s="5">
        <f t="shared" si="37"/>
        <v>0</v>
      </c>
      <c r="BD59" s="5">
        <f t="shared" si="27"/>
        <v>739264.55999999994</v>
      </c>
      <c r="BI59" s="5">
        <f t="shared" si="38"/>
        <v>0</v>
      </c>
      <c r="BJ59" s="5">
        <f t="shared" si="29"/>
        <v>739264.55999999994</v>
      </c>
      <c r="BO59" s="5">
        <f t="shared" si="41"/>
        <v>0</v>
      </c>
      <c r="BP59" s="5">
        <f t="shared" si="31"/>
        <v>739264.55999999994</v>
      </c>
      <c r="BU59" s="5">
        <f t="shared" si="40"/>
        <v>0</v>
      </c>
      <c r="BV59" s="5">
        <f t="shared" si="33"/>
        <v>739264.55999999994</v>
      </c>
    </row>
    <row r="60" spans="1:74">
      <c r="A60" s="4" t="s">
        <v>133</v>
      </c>
      <c r="B60" s="9"/>
      <c r="G60" s="5">
        <f t="shared" si="10"/>
        <v>0</v>
      </c>
      <c r="H60" s="5">
        <f t="shared" si="11"/>
        <v>0</v>
      </c>
      <c r="M60" s="5">
        <f t="shared" si="12"/>
        <v>0</v>
      </c>
      <c r="N60" s="5">
        <f t="shared" si="13"/>
        <v>0</v>
      </c>
      <c r="S60" s="5">
        <f t="shared" si="14"/>
        <v>0</v>
      </c>
      <c r="T60" s="5">
        <f t="shared" si="15"/>
        <v>0</v>
      </c>
      <c r="Y60" s="5">
        <f t="shared" si="16"/>
        <v>0</v>
      </c>
      <c r="Z60" s="5">
        <f t="shared" si="17"/>
        <v>0</v>
      </c>
      <c r="AE60" s="5">
        <f t="shared" si="18"/>
        <v>0</v>
      </c>
      <c r="AF60" s="5">
        <f t="shared" si="19"/>
        <v>0</v>
      </c>
      <c r="AG60" s="5"/>
      <c r="AH60" s="5"/>
      <c r="AI60" s="5"/>
      <c r="AK60" s="5">
        <f t="shared" si="20"/>
        <v>0</v>
      </c>
      <c r="AL60" s="5">
        <f t="shared" si="21"/>
        <v>0</v>
      </c>
      <c r="AM60" s="5"/>
      <c r="AN60" s="5"/>
      <c r="AO60" s="5"/>
      <c r="AQ60" s="5">
        <f t="shared" si="22"/>
        <v>0</v>
      </c>
      <c r="AR60" s="5">
        <f t="shared" si="23"/>
        <v>0</v>
      </c>
      <c r="AS60" s="5"/>
      <c r="AT60" s="5"/>
      <c r="AU60" s="5"/>
      <c r="AW60" s="5">
        <f t="shared" si="39"/>
        <v>0</v>
      </c>
      <c r="AX60" s="5">
        <f t="shared" si="25"/>
        <v>0</v>
      </c>
      <c r="AY60" s="5"/>
      <c r="AZ60" s="5"/>
      <c r="BA60" s="5"/>
      <c r="BC60" s="5">
        <f t="shared" si="37"/>
        <v>0</v>
      </c>
      <c r="BD60" s="5">
        <f t="shared" si="27"/>
        <v>0</v>
      </c>
      <c r="BE60" s="5"/>
      <c r="BF60" s="5"/>
      <c r="BG60" s="5"/>
      <c r="BI60" s="5">
        <f t="shared" si="38"/>
        <v>0</v>
      </c>
      <c r="BJ60" s="5">
        <f t="shared" si="29"/>
        <v>0</v>
      </c>
      <c r="BK60" s="5"/>
      <c r="BL60" s="5"/>
      <c r="BM60" s="5"/>
      <c r="BO60" s="5">
        <f t="shared" si="41"/>
        <v>0</v>
      </c>
      <c r="BP60" s="5">
        <f t="shared" si="31"/>
        <v>0</v>
      </c>
      <c r="BQ60" s="5"/>
      <c r="BR60" s="5"/>
      <c r="BS60" s="5"/>
      <c r="BU60" s="5">
        <f t="shared" si="40"/>
        <v>0</v>
      </c>
      <c r="BV60" s="5">
        <f t="shared" si="33"/>
        <v>0</v>
      </c>
    </row>
    <row r="61" spans="1:74">
      <c r="A61" s="4" t="s">
        <v>310</v>
      </c>
      <c r="B61" s="9"/>
      <c r="F61" s="4">
        <v>21150.44</v>
      </c>
      <c r="G61" s="5">
        <f t="shared" si="10"/>
        <v>21150.44</v>
      </c>
      <c r="H61" s="5">
        <f t="shared" si="11"/>
        <v>21150.44</v>
      </c>
      <c r="L61" s="4">
        <v>456</v>
      </c>
      <c r="M61" s="5">
        <f t="shared" si="12"/>
        <v>456</v>
      </c>
      <c r="N61" s="5">
        <f t="shared" si="13"/>
        <v>21606.44</v>
      </c>
      <c r="Q61" s="4">
        <v>22448.21</v>
      </c>
      <c r="R61" s="4">
        <v>3246</v>
      </c>
      <c r="S61" s="5">
        <f t="shared" si="14"/>
        <v>25694.21</v>
      </c>
      <c r="T61" s="5">
        <f t="shared" si="15"/>
        <v>47300.649999999994</v>
      </c>
      <c r="W61" s="4">
        <v>13379.94</v>
      </c>
      <c r="X61" s="4">
        <v>6058</v>
      </c>
      <c r="Y61" s="5">
        <f t="shared" si="16"/>
        <v>19437.940000000002</v>
      </c>
      <c r="Z61" s="5">
        <f t="shared" si="17"/>
        <v>66738.59</v>
      </c>
      <c r="AC61" s="4">
        <v>21326.3</v>
      </c>
      <c r="AD61" s="4">
        <v>8854</v>
      </c>
      <c r="AE61" s="5">
        <f t="shared" si="18"/>
        <v>30180.3</v>
      </c>
      <c r="AF61" s="5">
        <f t="shared" si="19"/>
        <v>96918.89</v>
      </c>
      <c r="AK61" s="5">
        <f t="shared" si="20"/>
        <v>0</v>
      </c>
      <c r="AL61" s="5">
        <f t="shared" si="21"/>
        <v>96918.89</v>
      </c>
      <c r="AQ61" s="5">
        <f t="shared" si="22"/>
        <v>0</v>
      </c>
      <c r="AR61" s="5">
        <f t="shared" si="23"/>
        <v>96918.89</v>
      </c>
      <c r="AW61" s="5">
        <f>SUM(AS61:AV61)</f>
        <v>0</v>
      </c>
      <c r="AX61" s="5">
        <f t="shared" si="25"/>
        <v>96918.89</v>
      </c>
      <c r="BC61" s="5">
        <f>SUM(AY61:BB61)</f>
        <v>0</v>
      </c>
      <c r="BD61" s="5">
        <f t="shared" si="27"/>
        <v>96918.89</v>
      </c>
      <c r="BI61" s="5">
        <f>SUM(BE61:BH61)</f>
        <v>0</v>
      </c>
      <c r="BJ61" s="5">
        <f t="shared" si="29"/>
        <v>96918.89</v>
      </c>
      <c r="BO61" s="5">
        <f>SUM(BK61:BN61)</f>
        <v>0</v>
      </c>
      <c r="BP61" s="5">
        <f t="shared" si="31"/>
        <v>96918.89</v>
      </c>
      <c r="BU61" s="5">
        <f>SUM(BQ61:BT61)</f>
        <v>0</v>
      </c>
      <c r="BV61" s="5">
        <f t="shared" si="33"/>
        <v>96918.89</v>
      </c>
    </row>
    <row r="62" spans="1:74">
      <c r="A62" s="4" t="s">
        <v>255</v>
      </c>
      <c r="B62" s="9"/>
      <c r="F62" s="4">
        <v>7673.96</v>
      </c>
      <c r="G62" s="5">
        <f t="shared" si="10"/>
        <v>7673.96</v>
      </c>
      <c r="H62" s="5">
        <f t="shared" si="11"/>
        <v>7673.96</v>
      </c>
      <c r="M62" s="5">
        <f t="shared" si="12"/>
        <v>0</v>
      </c>
      <c r="N62" s="5">
        <f t="shared" si="13"/>
        <v>7673.96</v>
      </c>
      <c r="S62" s="5">
        <f t="shared" si="14"/>
        <v>0</v>
      </c>
      <c r="T62" s="5">
        <f t="shared" si="15"/>
        <v>7673.96</v>
      </c>
      <c r="Y62" s="5">
        <f t="shared" si="16"/>
        <v>0</v>
      </c>
      <c r="Z62" s="5">
        <f t="shared" si="17"/>
        <v>7673.96</v>
      </c>
      <c r="AE62" s="5">
        <f t="shared" si="18"/>
        <v>0</v>
      </c>
      <c r="AF62" s="5">
        <f t="shared" si="19"/>
        <v>7673.96</v>
      </c>
      <c r="AK62" s="5">
        <f t="shared" si="20"/>
        <v>0</v>
      </c>
      <c r="AL62" s="5">
        <f t="shared" si="21"/>
        <v>7673.96</v>
      </c>
      <c r="AQ62" s="5">
        <f t="shared" si="22"/>
        <v>0</v>
      </c>
      <c r="AR62" s="5">
        <f t="shared" si="23"/>
        <v>7673.96</v>
      </c>
      <c r="AW62" s="5">
        <f t="shared" ref="AW62:AW79" si="42">SUM(AS62:AV62)</f>
        <v>0</v>
      </c>
      <c r="AX62" s="5">
        <f t="shared" si="25"/>
        <v>7673.96</v>
      </c>
      <c r="BC62" s="5">
        <f t="shared" ref="BC62:BC87" si="43">SUM(AY62:BB62)</f>
        <v>0</v>
      </c>
      <c r="BD62" s="5">
        <f t="shared" si="27"/>
        <v>7673.96</v>
      </c>
      <c r="BI62" s="5">
        <f t="shared" ref="BI62:BI79" si="44">SUM(BE62:BH62)</f>
        <v>0</v>
      </c>
      <c r="BJ62" s="5">
        <f t="shared" si="29"/>
        <v>7673.96</v>
      </c>
      <c r="BO62" s="5">
        <f t="shared" ref="BO62:BO79" si="45">SUM(BK62:BN62)</f>
        <v>0</v>
      </c>
      <c r="BP62" s="5">
        <f t="shared" si="31"/>
        <v>7673.96</v>
      </c>
      <c r="BU62" s="5">
        <f t="shared" ref="BU62:BU79" si="46">SUM(BQ62:BT62)</f>
        <v>0</v>
      </c>
      <c r="BV62" s="5">
        <f t="shared" si="33"/>
        <v>7673.96</v>
      </c>
    </row>
    <row r="63" spans="1:74">
      <c r="A63" s="4" t="s">
        <v>446</v>
      </c>
      <c r="B63" s="9"/>
      <c r="F63" s="4">
        <v>16482.080000000002</v>
      </c>
      <c r="G63" s="5">
        <f>SUM(C63:F63)</f>
        <v>16482.080000000002</v>
      </c>
      <c r="H63" s="5">
        <f>B63+G63</f>
        <v>16482.080000000002</v>
      </c>
      <c r="M63" s="5"/>
      <c r="N63" s="5"/>
      <c r="S63" s="5"/>
      <c r="T63" s="5"/>
      <c r="Y63" s="5"/>
      <c r="Z63" s="5"/>
      <c r="AE63" s="5"/>
      <c r="AF63" s="5"/>
      <c r="AK63" s="5"/>
      <c r="AL63" s="5"/>
      <c r="AQ63" s="5"/>
      <c r="AR63" s="5"/>
      <c r="AW63" s="5"/>
      <c r="AX63" s="5"/>
      <c r="BC63" s="5"/>
      <c r="BD63" s="5"/>
      <c r="BI63" s="5"/>
      <c r="BJ63" s="5"/>
      <c r="BO63" s="5"/>
      <c r="BP63" s="5"/>
      <c r="BU63" s="5"/>
      <c r="BV63" s="5"/>
    </row>
    <row r="64" spans="1:74">
      <c r="A64" s="4" t="s">
        <v>134</v>
      </c>
      <c r="B64" s="9"/>
      <c r="F64" s="5">
        <v>13358</v>
      </c>
      <c r="G64" s="5">
        <f t="shared" si="10"/>
        <v>13358</v>
      </c>
      <c r="H64" s="5">
        <f t="shared" si="11"/>
        <v>13358</v>
      </c>
      <c r="L64" s="5">
        <v>13420.1</v>
      </c>
      <c r="M64" s="5">
        <f t="shared" si="12"/>
        <v>13420.1</v>
      </c>
      <c r="N64" s="5">
        <f t="shared" si="13"/>
        <v>26778.1</v>
      </c>
      <c r="R64" s="4">
        <v>13370.7</v>
      </c>
      <c r="S64" s="5">
        <f t="shared" si="14"/>
        <v>13370.7</v>
      </c>
      <c r="T64" s="5">
        <f t="shared" si="15"/>
        <v>40148.800000000003</v>
      </c>
      <c r="X64" s="4">
        <v>13026.1</v>
      </c>
      <c r="Y64" s="5">
        <f t="shared" si="16"/>
        <v>13026.1</v>
      </c>
      <c r="Z64" s="5">
        <f t="shared" si="17"/>
        <v>53174.9</v>
      </c>
      <c r="AD64" s="4">
        <v>13723.5</v>
      </c>
      <c r="AE64" s="5">
        <f t="shared" si="18"/>
        <v>13723.5</v>
      </c>
      <c r="AF64" s="5">
        <f t="shared" si="19"/>
        <v>66898.399999999994</v>
      </c>
      <c r="AK64" s="5">
        <f t="shared" si="20"/>
        <v>0</v>
      </c>
      <c r="AL64" s="5">
        <f t="shared" si="21"/>
        <v>66898.399999999994</v>
      </c>
      <c r="AQ64" s="5">
        <f t="shared" si="22"/>
        <v>0</v>
      </c>
      <c r="AR64" s="5">
        <f t="shared" si="23"/>
        <v>66898.399999999994</v>
      </c>
      <c r="AW64" s="5">
        <f t="shared" si="42"/>
        <v>0</v>
      </c>
      <c r="AX64" s="5">
        <f t="shared" si="25"/>
        <v>66898.399999999994</v>
      </c>
      <c r="BC64" s="5">
        <f t="shared" si="43"/>
        <v>0</v>
      </c>
      <c r="BD64" s="5">
        <f t="shared" si="27"/>
        <v>66898.399999999994</v>
      </c>
      <c r="BI64" s="5">
        <f t="shared" si="44"/>
        <v>0</v>
      </c>
      <c r="BJ64" s="5">
        <f t="shared" si="29"/>
        <v>66898.399999999994</v>
      </c>
      <c r="BO64" s="5">
        <f t="shared" si="45"/>
        <v>0</v>
      </c>
      <c r="BP64" s="5">
        <f t="shared" si="31"/>
        <v>66898.399999999994</v>
      </c>
      <c r="BU64" s="5">
        <f t="shared" si="46"/>
        <v>0</v>
      </c>
      <c r="BV64" s="5">
        <f t="shared" si="33"/>
        <v>66898.399999999994</v>
      </c>
    </row>
    <row r="65" spans="1:74">
      <c r="A65" s="4" t="s">
        <v>135</v>
      </c>
      <c r="B65" s="9"/>
      <c r="E65" s="435">
        <v>113677.48</v>
      </c>
      <c r="F65" s="5"/>
      <c r="G65" s="5">
        <f t="shared" si="10"/>
        <v>113677.48</v>
      </c>
      <c r="H65" s="5">
        <f t="shared" si="11"/>
        <v>113677.48</v>
      </c>
      <c r="L65" s="4">
        <v>51671.64</v>
      </c>
      <c r="M65" s="5">
        <f t="shared" si="12"/>
        <v>51671.64</v>
      </c>
      <c r="N65" s="5">
        <f t="shared" si="13"/>
        <v>165349.12</v>
      </c>
      <c r="R65" s="4">
        <v>51671.64</v>
      </c>
      <c r="S65" s="5">
        <f t="shared" si="14"/>
        <v>51671.64</v>
      </c>
      <c r="T65" s="5">
        <f t="shared" si="15"/>
        <v>217020.76</v>
      </c>
      <c r="X65" s="4">
        <v>51671.64</v>
      </c>
      <c r="Y65" s="5">
        <f t="shared" si="16"/>
        <v>51671.64</v>
      </c>
      <c r="Z65" s="5">
        <f t="shared" si="17"/>
        <v>268692.40000000002</v>
      </c>
      <c r="AC65" s="4">
        <v>56838.74</v>
      </c>
      <c r="AE65" s="5">
        <f t="shared" si="18"/>
        <v>56838.74</v>
      </c>
      <c r="AF65" s="5">
        <f t="shared" si="19"/>
        <v>325531.14</v>
      </c>
      <c r="AK65" s="5">
        <f t="shared" si="20"/>
        <v>0</v>
      </c>
      <c r="AL65" s="5">
        <f t="shared" si="21"/>
        <v>325531.14</v>
      </c>
      <c r="AQ65" s="5">
        <f t="shared" si="22"/>
        <v>0</v>
      </c>
      <c r="AR65" s="5">
        <f t="shared" si="23"/>
        <v>325531.14</v>
      </c>
      <c r="AW65" s="5">
        <f>SUM(AS65:AV65)</f>
        <v>0</v>
      </c>
      <c r="AX65" s="5">
        <f>AR65+AW65</f>
        <v>325531.14</v>
      </c>
      <c r="BC65" s="5">
        <f>SUM(AY65:BB65)</f>
        <v>0</v>
      </c>
      <c r="BD65" s="5">
        <f>AX65+BC65</f>
        <v>325531.14</v>
      </c>
      <c r="BI65" s="5">
        <f>SUM(BE65:BH65)</f>
        <v>0</v>
      </c>
      <c r="BJ65" s="5">
        <f>BD65+BI65</f>
        <v>325531.14</v>
      </c>
      <c r="BO65" s="5">
        <f>SUM(BK65:BN65)</f>
        <v>0</v>
      </c>
      <c r="BP65" s="5">
        <f>BJ65+BO65</f>
        <v>325531.14</v>
      </c>
      <c r="BU65" s="5">
        <f>SUM(BQ65:BT65)</f>
        <v>0</v>
      </c>
      <c r="BV65" s="5">
        <f>BP65+BU65</f>
        <v>325531.14</v>
      </c>
    </row>
    <row r="66" spans="1:74">
      <c r="A66" s="4" t="s">
        <v>136</v>
      </c>
      <c r="B66" s="9"/>
      <c r="F66" s="4">
        <v>213.75</v>
      </c>
      <c r="G66" s="5">
        <f t="shared" si="10"/>
        <v>213.75</v>
      </c>
      <c r="H66" s="5">
        <f t="shared" si="11"/>
        <v>213.75</v>
      </c>
      <c r="M66" s="5">
        <f t="shared" si="12"/>
        <v>0</v>
      </c>
      <c r="N66" s="5">
        <f t="shared" si="13"/>
        <v>213.75</v>
      </c>
      <c r="S66" s="5">
        <f t="shared" si="14"/>
        <v>0</v>
      </c>
      <c r="T66" s="5">
        <f t="shared" si="15"/>
        <v>213.75</v>
      </c>
      <c r="Y66" s="5">
        <f t="shared" si="16"/>
        <v>0</v>
      </c>
      <c r="Z66" s="5">
        <f t="shared" si="17"/>
        <v>213.75</v>
      </c>
      <c r="AD66" s="4">
        <v>1867.26</v>
      </c>
      <c r="AE66" s="5">
        <f t="shared" si="18"/>
        <v>1867.26</v>
      </c>
      <c r="AF66" s="5">
        <f t="shared" si="19"/>
        <v>2081.0100000000002</v>
      </c>
      <c r="AK66" s="5">
        <f t="shared" si="20"/>
        <v>0</v>
      </c>
      <c r="AL66" s="5">
        <f t="shared" si="21"/>
        <v>2081.0100000000002</v>
      </c>
      <c r="AQ66" s="5">
        <f t="shared" si="22"/>
        <v>0</v>
      </c>
      <c r="AR66" s="5">
        <f t="shared" si="23"/>
        <v>2081.0100000000002</v>
      </c>
      <c r="AW66" s="5">
        <f>SUM(AS66:AV66)</f>
        <v>0</v>
      </c>
      <c r="AX66" s="5">
        <f>AR66+AW66</f>
        <v>2081.0100000000002</v>
      </c>
      <c r="BC66" s="5">
        <f t="shared" si="43"/>
        <v>0</v>
      </c>
      <c r="BD66" s="5">
        <f t="shared" si="27"/>
        <v>2081.0100000000002</v>
      </c>
      <c r="BI66" s="5">
        <f t="shared" si="44"/>
        <v>0</v>
      </c>
      <c r="BJ66" s="5">
        <f t="shared" si="29"/>
        <v>2081.0100000000002</v>
      </c>
      <c r="BO66" s="5">
        <f t="shared" si="45"/>
        <v>0</v>
      </c>
      <c r="BP66" s="5">
        <f t="shared" si="31"/>
        <v>2081.0100000000002</v>
      </c>
      <c r="BU66" s="5">
        <f t="shared" si="46"/>
        <v>0</v>
      </c>
      <c r="BV66" s="5">
        <f t="shared" si="33"/>
        <v>2081.0100000000002</v>
      </c>
    </row>
    <row r="67" spans="1:74">
      <c r="A67" s="4" t="s">
        <v>138</v>
      </c>
      <c r="B67" s="9"/>
      <c r="E67" s="4">
        <v>8000</v>
      </c>
      <c r="F67" s="5"/>
      <c r="G67" s="5">
        <f t="shared" si="10"/>
        <v>8000</v>
      </c>
      <c r="H67" s="5">
        <f t="shared" si="11"/>
        <v>8000</v>
      </c>
      <c r="L67" s="4">
        <v>8000</v>
      </c>
      <c r="M67" s="5">
        <f t="shared" si="12"/>
        <v>8000</v>
      </c>
      <c r="N67" s="5">
        <f t="shared" si="13"/>
        <v>16000</v>
      </c>
      <c r="R67" s="4">
        <v>8000</v>
      </c>
      <c r="S67" s="5">
        <f t="shared" si="14"/>
        <v>8000</v>
      </c>
      <c r="T67" s="5">
        <f t="shared" si="15"/>
        <v>24000</v>
      </c>
      <c r="X67" s="4">
        <v>26000</v>
      </c>
      <c r="Y67" s="5">
        <f t="shared" si="16"/>
        <v>26000</v>
      </c>
      <c r="Z67" s="5">
        <f t="shared" si="17"/>
        <v>50000</v>
      </c>
      <c r="AC67" s="4">
        <v>8000</v>
      </c>
      <c r="AE67" s="5">
        <f t="shared" si="18"/>
        <v>8000</v>
      </c>
      <c r="AF67" s="5">
        <f t="shared" si="19"/>
        <v>58000</v>
      </c>
      <c r="AK67" s="5">
        <f t="shared" si="20"/>
        <v>0</v>
      </c>
      <c r="AL67" s="5">
        <f t="shared" si="21"/>
        <v>58000</v>
      </c>
      <c r="AQ67" s="5">
        <f t="shared" si="22"/>
        <v>0</v>
      </c>
      <c r="AR67" s="5">
        <f t="shared" si="23"/>
        <v>58000</v>
      </c>
      <c r="AW67" s="5">
        <f>SUM(AS67:AV67)</f>
        <v>0</v>
      </c>
      <c r="AX67" s="5">
        <f>AR67+AW67</f>
        <v>58000</v>
      </c>
      <c r="BC67" s="5">
        <f t="shared" si="43"/>
        <v>0</v>
      </c>
      <c r="BD67" s="5">
        <f>AX67+BC67</f>
        <v>58000</v>
      </c>
      <c r="BI67" s="5">
        <f t="shared" si="44"/>
        <v>0</v>
      </c>
      <c r="BJ67" s="5">
        <f>BD67+BI67</f>
        <v>58000</v>
      </c>
      <c r="BO67" s="5">
        <f t="shared" si="45"/>
        <v>0</v>
      </c>
      <c r="BP67" s="5">
        <f>BJ67+BO67</f>
        <v>58000</v>
      </c>
      <c r="BU67" s="5">
        <f t="shared" si="46"/>
        <v>0</v>
      </c>
      <c r="BV67" s="5">
        <f>BP67+BU67</f>
        <v>58000</v>
      </c>
    </row>
    <row r="68" spans="1:74">
      <c r="A68" s="4" t="s">
        <v>137</v>
      </c>
      <c r="B68" s="9"/>
      <c r="F68" s="4">
        <v>14651.18938690476</v>
      </c>
      <c r="G68" s="5">
        <f t="shared" si="10"/>
        <v>14651.18938690476</v>
      </c>
      <c r="H68" s="5">
        <f t="shared" si="11"/>
        <v>14651.18938690476</v>
      </c>
      <c r="L68" s="4">
        <v>23398.375505952383</v>
      </c>
      <c r="M68" s="5">
        <f t="shared" si="12"/>
        <v>23398.375505952383</v>
      </c>
      <c r="N68" s="5">
        <f t="shared" si="13"/>
        <v>38049.564892857146</v>
      </c>
      <c r="R68" s="4">
        <v>23398.375505952383</v>
      </c>
      <c r="S68" s="5">
        <f t="shared" si="14"/>
        <v>23398.375505952383</v>
      </c>
      <c r="T68" s="5">
        <f t="shared" si="15"/>
        <v>61447.940398809529</v>
      </c>
      <c r="X68" s="4">
        <v>23398.375505952383</v>
      </c>
      <c r="Y68" s="5">
        <f t="shared" si="16"/>
        <v>23398.375505952383</v>
      </c>
      <c r="Z68" s="5">
        <f t="shared" si="17"/>
        <v>84846.315904761912</v>
      </c>
      <c r="AD68" s="4">
        <v>23398.365505952381</v>
      </c>
      <c r="AE68" s="5">
        <f t="shared" si="18"/>
        <v>23398.365505952381</v>
      </c>
      <c r="AF68" s="5">
        <f t="shared" si="19"/>
        <v>108244.68141071429</v>
      </c>
      <c r="AK68" s="5">
        <f t="shared" si="20"/>
        <v>0</v>
      </c>
      <c r="AL68" s="5">
        <f t="shared" si="21"/>
        <v>108244.68141071429</v>
      </c>
      <c r="AQ68" s="5">
        <f t="shared" si="22"/>
        <v>0</v>
      </c>
      <c r="AR68" s="5">
        <f t="shared" si="23"/>
        <v>108244.68141071429</v>
      </c>
      <c r="AW68" s="5">
        <f t="shared" si="42"/>
        <v>0</v>
      </c>
      <c r="AX68" s="5">
        <f>AR68+AW68</f>
        <v>108244.68141071429</v>
      </c>
      <c r="BC68" s="5">
        <f t="shared" si="43"/>
        <v>0</v>
      </c>
      <c r="BD68" s="5">
        <f>AX68+BC68</f>
        <v>108244.68141071429</v>
      </c>
      <c r="BI68" s="5">
        <f t="shared" si="44"/>
        <v>0</v>
      </c>
      <c r="BJ68" s="5">
        <f>BD68+BI68</f>
        <v>108244.68141071429</v>
      </c>
      <c r="BO68" s="5">
        <f t="shared" si="45"/>
        <v>0</v>
      </c>
      <c r="BP68" s="5">
        <f>BJ68+BO68</f>
        <v>108244.68141071429</v>
      </c>
      <c r="BU68" s="5">
        <f t="shared" si="46"/>
        <v>0</v>
      </c>
      <c r="BV68" s="5">
        <f>BP68+BU68</f>
        <v>108244.68141071429</v>
      </c>
    </row>
    <row r="69" spans="1:74">
      <c r="A69" s="4" t="s">
        <v>139</v>
      </c>
      <c r="B69" s="9"/>
      <c r="E69" s="4">
        <v>25361.75</v>
      </c>
      <c r="F69" s="4">
        <v>3120</v>
      </c>
      <c r="G69" s="5">
        <f t="shared" si="10"/>
        <v>28481.75</v>
      </c>
      <c r="H69" s="5">
        <f t="shared" si="11"/>
        <v>28481.75</v>
      </c>
      <c r="L69" s="4">
        <v>2000</v>
      </c>
      <c r="M69" s="5">
        <f t="shared" si="12"/>
        <v>2000</v>
      </c>
      <c r="N69" s="5">
        <f t="shared" si="13"/>
        <v>30481.75</v>
      </c>
      <c r="R69" s="4">
        <v>2035</v>
      </c>
      <c r="S69" s="5">
        <f t="shared" si="14"/>
        <v>2035</v>
      </c>
      <c r="T69" s="5">
        <f t="shared" si="15"/>
        <v>32516.75</v>
      </c>
      <c r="W69" s="4">
        <v>16116.66</v>
      </c>
      <c r="Y69" s="5">
        <f t="shared" si="16"/>
        <v>16116.66</v>
      </c>
      <c r="Z69" s="5">
        <f t="shared" si="17"/>
        <v>48633.41</v>
      </c>
      <c r="AD69" s="4">
        <v>2000</v>
      </c>
      <c r="AE69" s="5">
        <f t="shared" si="18"/>
        <v>2000</v>
      </c>
      <c r="AF69" s="5">
        <f t="shared" si="19"/>
        <v>50633.41</v>
      </c>
      <c r="AK69" s="5">
        <f t="shared" si="20"/>
        <v>0</v>
      </c>
      <c r="AL69" s="5">
        <f t="shared" si="21"/>
        <v>50633.41</v>
      </c>
      <c r="AQ69" s="5">
        <f t="shared" si="22"/>
        <v>0</v>
      </c>
      <c r="AR69" s="5">
        <f t="shared" si="23"/>
        <v>50633.41</v>
      </c>
      <c r="AW69" s="5">
        <f t="shared" si="42"/>
        <v>0</v>
      </c>
      <c r="AX69" s="5">
        <f>AR69+AW69</f>
        <v>50633.41</v>
      </c>
      <c r="BC69" s="5">
        <f t="shared" si="43"/>
        <v>0</v>
      </c>
      <c r="BD69" s="5">
        <f>AX69+BC69</f>
        <v>50633.41</v>
      </c>
      <c r="BI69" s="5">
        <f t="shared" si="44"/>
        <v>0</v>
      </c>
      <c r="BJ69" s="5">
        <f>BD69+BI69</f>
        <v>50633.41</v>
      </c>
      <c r="BO69" s="5">
        <f t="shared" si="45"/>
        <v>0</v>
      </c>
      <c r="BP69" s="5">
        <f>BJ69+BO69</f>
        <v>50633.41</v>
      </c>
      <c r="BU69" s="5">
        <f t="shared" si="46"/>
        <v>0</v>
      </c>
      <c r="BV69" s="5">
        <f>BP69+BU69</f>
        <v>50633.41</v>
      </c>
    </row>
    <row r="70" spans="1:74">
      <c r="A70" s="4" t="s">
        <v>140</v>
      </c>
      <c r="B70" s="9"/>
      <c r="F70" s="4">
        <v>150</v>
      </c>
      <c r="G70" s="5">
        <f t="shared" si="10"/>
        <v>150</v>
      </c>
      <c r="H70" s="5">
        <f t="shared" si="11"/>
        <v>150</v>
      </c>
      <c r="M70" s="5">
        <f t="shared" si="12"/>
        <v>0</v>
      </c>
      <c r="N70" s="5">
        <f t="shared" si="13"/>
        <v>150</v>
      </c>
      <c r="R70" s="4">
        <v>300</v>
      </c>
      <c r="S70" s="5">
        <f t="shared" si="14"/>
        <v>300</v>
      </c>
      <c r="T70" s="5">
        <f t="shared" si="15"/>
        <v>450</v>
      </c>
      <c r="Y70" s="5">
        <f t="shared" si="16"/>
        <v>0</v>
      </c>
      <c r="Z70" s="5">
        <f t="shared" si="17"/>
        <v>450</v>
      </c>
      <c r="AE70" s="5">
        <f t="shared" si="18"/>
        <v>0</v>
      </c>
      <c r="AF70" s="5">
        <f t="shared" si="19"/>
        <v>450</v>
      </c>
      <c r="AG70" s="5"/>
      <c r="AH70" s="5"/>
      <c r="AI70" s="5"/>
      <c r="AK70" s="5">
        <f t="shared" si="20"/>
        <v>0</v>
      </c>
      <c r="AL70" s="5">
        <f t="shared" si="21"/>
        <v>450</v>
      </c>
      <c r="AM70" s="5"/>
      <c r="AN70" s="5"/>
      <c r="AO70" s="5"/>
      <c r="AQ70" s="5">
        <f t="shared" si="22"/>
        <v>0</v>
      </c>
      <c r="AR70" s="5">
        <f t="shared" si="23"/>
        <v>450</v>
      </c>
      <c r="AS70" s="5"/>
      <c r="AT70" s="5"/>
      <c r="AU70" s="5"/>
      <c r="AW70" s="5">
        <f t="shared" si="42"/>
        <v>0</v>
      </c>
      <c r="AX70" s="5">
        <f t="shared" ref="AX70:AX87" si="47">AR70+AW70</f>
        <v>450</v>
      </c>
      <c r="AY70" s="5"/>
      <c r="AZ70" s="5"/>
      <c r="BA70" s="5"/>
      <c r="BC70" s="5">
        <f t="shared" si="43"/>
        <v>0</v>
      </c>
      <c r="BD70" s="5">
        <f t="shared" ref="BD70:BD87" si="48">AX70+BC70</f>
        <v>450</v>
      </c>
      <c r="BE70" s="5"/>
      <c r="BF70" s="5"/>
      <c r="BG70" s="5"/>
      <c r="BI70" s="5">
        <f t="shared" si="44"/>
        <v>0</v>
      </c>
      <c r="BJ70" s="5">
        <f t="shared" ref="BJ70:BJ87" si="49">BD70+BI70</f>
        <v>450</v>
      </c>
      <c r="BK70" s="5"/>
      <c r="BL70" s="5"/>
      <c r="BM70" s="5"/>
      <c r="BO70" s="5">
        <f t="shared" si="45"/>
        <v>0</v>
      </c>
      <c r="BP70" s="5">
        <f t="shared" ref="BP70:BP87" si="50">BJ70+BO70</f>
        <v>450</v>
      </c>
      <c r="BQ70" s="5"/>
      <c r="BR70" s="5"/>
      <c r="BS70" s="5"/>
      <c r="BU70" s="5">
        <f t="shared" si="46"/>
        <v>0</v>
      </c>
      <c r="BV70" s="5">
        <f t="shared" ref="BV70:BV87" si="51">BP70+BU70</f>
        <v>450</v>
      </c>
    </row>
    <row r="71" spans="1:74">
      <c r="A71" s="4" t="s">
        <v>141</v>
      </c>
      <c r="B71" s="9"/>
      <c r="G71" s="5">
        <f t="shared" si="10"/>
        <v>0</v>
      </c>
      <c r="H71" s="5">
        <f t="shared" si="11"/>
        <v>0</v>
      </c>
      <c r="M71" s="5">
        <f t="shared" si="12"/>
        <v>0</v>
      </c>
      <c r="N71" s="5">
        <f t="shared" si="13"/>
        <v>0</v>
      </c>
      <c r="S71" s="5">
        <f t="shared" si="14"/>
        <v>0</v>
      </c>
      <c r="T71" s="5">
        <f t="shared" si="15"/>
        <v>0</v>
      </c>
      <c r="X71" s="4">
        <v>6703.35</v>
      </c>
      <c r="Y71" s="5">
        <f>SUM(U71:X71)</f>
        <v>6703.35</v>
      </c>
      <c r="Z71" s="5">
        <f t="shared" si="17"/>
        <v>6703.35</v>
      </c>
      <c r="AE71" s="5">
        <f t="shared" si="18"/>
        <v>0</v>
      </c>
      <c r="AF71" s="5">
        <f t="shared" si="19"/>
        <v>6703.35</v>
      </c>
      <c r="AK71" s="5">
        <f t="shared" si="20"/>
        <v>0</v>
      </c>
      <c r="AL71" s="5">
        <f t="shared" si="21"/>
        <v>6703.35</v>
      </c>
      <c r="AQ71" s="5">
        <f t="shared" si="22"/>
        <v>0</v>
      </c>
      <c r="AR71" s="5">
        <f t="shared" si="23"/>
        <v>6703.35</v>
      </c>
      <c r="AW71" s="5">
        <f t="shared" si="42"/>
        <v>0</v>
      </c>
      <c r="AX71" s="5">
        <f t="shared" si="47"/>
        <v>6703.35</v>
      </c>
      <c r="BC71" s="5">
        <f t="shared" si="43"/>
        <v>0</v>
      </c>
      <c r="BD71" s="5">
        <f t="shared" si="48"/>
        <v>6703.35</v>
      </c>
      <c r="BI71" s="5">
        <f t="shared" si="44"/>
        <v>0</v>
      </c>
      <c r="BJ71" s="5">
        <f t="shared" si="49"/>
        <v>6703.35</v>
      </c>
      <c r="BO71" s="5">
        <f t="shared" si="45"/>
        <v>0</v>
      </c>
      <c r="BP71" s="5">
        <f t="shared" si="50"/>
        <v>6703.35</v>
      </c>
      <c r="BU71" s="5">
        <f t="shared" si="46"/>
        <v>0</v>
      </c>
      <c r="BV71" s="5">
        <f t="shared" si="51"/>
        <v>6703.35</v>
      </c>
    </row>
    <row r="72" spans="1:74">
      <c r="A72" s="4" t="s">
        <v>142</v>
      </c>
      <c r="B72" s="9"/>
      <c r="F72" s="4">
        <v>19500</v>
      </c>
      <c r="G72" s="5">
        <f t="shared" si="10"/>
        <v>19500</v>
      </c>
      <c r="H72" s="5">
        <f t="shared" si="11"/>
        <v>19500</v>
      </c>
      <c r="L72" s="4">
        <v>19500</v>
      </c>
      <c r="M72" s="5">
        <f t="shared" si="12"/>
        <v>19500</v>
      </c>
      <c r="N72" s="5">
        <f t="shared" si="13"/>
        <v>39000</v>
      </c>
      <c r="R72" s="4">
        <v>19500</v>
      </c>
      <c r="S72" s="5">
        <f t="shared" si="14"/>
        <v>19500</v>
      </c>
      <c r="T72" s="5">
        <f t="shared" si="15"/>
        <v>58500</v>
      </c>
      <c r="X72" s="4">
        <v>19500</v>
      </c>
      <c r="Y72" s="5">
        <f t="shared" si="16"/>
        <v>19500</v>
      </c>
      <c r="Z72" s="5">
        <f t="shared" si="17"/>
        <v>78000</v>
      </c>
      <c r="AD72" s="4">
        <v>19500</v>
      </c>
      <c r="AE72" s="5">
        <f t="shared" si="18"/>
        <v>19500</v>
      </c>
      <c r="AF72" s="5">
        <f t="shared" si="19"/>
        <v>97500</v>
      </c>
      <c r="AG72" s="5"/>
      <c r="AH72" s="5"/>
      <c r="AI72" s="5"/>
      <c r="AK72" s="5">
        <f t="shared" si="20"/>
        <v>0</v>
      </c>
      <c r="AL72" s="5">
        <f t="shared" si="21"/>
        <v>97500</v>
      </c>
      <c r="AM72" s="5"/>
      <c r="AN72" s="5"/>
      <c r="AO72" s="5"/>
      <c r="AQ72" s="5">
        <f t="shared" si="22"/>
        <v>0</v>
      </c>
      <c r="AR72" s="5">
        <f t="shared" si="23"/>
        <v>97500</v>
      </c>
      <c r="AS72" s="5"/>
      <c r="AT72" s="5"/>
      <c r="AU72" s="5"/>
      <c r="AW72" s="5">
        <f t="shared" si="42"/>
        <v>0</v>
      </c>
      <c r="AX72" s="5">
        <f t="shared" si="47"/>
        <v>97500</v>
      </c>
      <c r="AY72" s="5"/>
      <c r="AZ72" s="5"/>
      <c r="BA72" s="5"/>
      <c r="BC72" s="5">
        <f t="shared" si="43"/>
        <v>0</v>
      </c>
      <c r="BD72" s="5">
        <f t="shared" si="48"/>
        <v>97500</v>
      </c>
      <c r="BE72" s="5"/>
      <c r="BF72" s="5"/>
      <c r="BG72" s="5"/>
      <c r="BI72" s="5">
        <f t="shared" si="44"/>
        <v>0</v>
      </c>
      <c r="BJ72" s="5">
        <f t="shared" si="49"/>
        <v>97500</v>
      </c>
      <c r="BK72" s="5"/>
      <c r="BL72" s="5"/>
      <c r="BM72" s="5"/>
      <c r="BO72" s="5">
        <f t="shared" si="45"/>
        <v>0</v>
      </c>
      <c r="BP72" s="5">
        <f t="shared" si="50"/>
        <v>97500</v>
      </c>
      <c r="BQ72" s="5"/>
      <c r="BR72" s="5"/>
      <c r="BS72" s="5"/>
      <c r="BU72" s="5">
        <f t="shared" si="46"/>
        <v>0</v>
      </c>
      <c r="BV72" s="5">
        <f t="shared" si="51"/>
        <v>97500</v>
      </c>
    </row>
    <row r="73" spans="1:74">
      <c r="A73" s="4" t="s">
        <v>143</v>
      </c>
      <c r="B73" s="9"/>
      <c r="G73" s="5">
        <f t="shared" si="10"/>
        <v>0</v>
      </c>
      <c r="H73" s="5">
        <f t="shared" si="11"/>
        <v>0</v>
      </c>
      <c r="M73" s="5">
        <f t="shared" si="12"/>
        <v>0</v>
      </c>
      <c r="N73" s="5">
        <f t="shared" si="13"/>
        <v>0</v>
      </c>
      <c r="S73" s="5">
        <f t="shared" si="14"/>
        <v>0</v>
      </c>
      <c r="T73" s="5">
        <f t="shared" si="15"/>
        <v>0</v>
      </c>
      <c r="Y73" s="5">
        <f t="shared" si="16"/>
        <v>0</v>
      </c>
      <c r="Z73" s="5">
        <f t="shared" si="17"/>
        <v>0</v>
      </c>
      <c r="AE73" s="5">
        <f t="shared" si="18"/>
        <v>0</v>
      </c>
      <c r="AF73" s="5">
        <f t="shared" si="19"/>
        <v>0</v>
      </c>
      <c r="AG73" s="5"/>
      <c r="AH73" s="5"/>
      <c r="AI73" s="5"/>
      <c r="AK73" s="5">
        <f t="shared" si="20"/>
        <v>0</v>
      </c>
      <c r="AL73" s="5">
        <f t="shared" si="21"/>
        <v>0</v>
      </c>
      <c r="AM73" s="5"/>
      <c r="AN73" s="5"/>
      <c r="AO73" s="5"/>
      <c r="AQ73" s="5">
        <f t="shared" si="22"/>
        <v>0</v>
      </c>
      <c r="AR73" s="5">
        <f t="shared" si="23"/>
        <v>0</v>
      </c>
      <c r="AS73" s="5"/>
      <c r="AT73" s="5"/>
      <c r="AU73" s="5"/>
      <c r="AW73" s="5">
        <f t="shared" si="42"/>
        <v>0</v>
      </c>
      <c r="AX73" s="5">
        <f t="shared" si="47"/>
        <v>0</v>
      </c>
      <c r="AY73" s="5"/>
      <c r="AZ73" s="5"/>
      <c r="BA73" s="5"/>
      <c r="BC73" s="5">
        <f t="shared" si="43"/>
        <v>0</v>
      </c>
      <c r="BD73" s="5">
        <f t="shared" si="48"/>
        <v>0</v>
      </c>
      <c r="BE73" s="5"/>
      <c r="BF73" s="5"/>
      <c r="BG73" s="5"/>
      <c r="BI73" s="5">
        <f t="shared" si="44"/>
        <v>0</v>
      </c>
      <c r="BJ73" s="5">
        <f t="shared" si="49"/>
        <v>0</v>
      </c>
      <c r="BK73" s="5"/>
      <c r="BL73" s="5"/>
      <c r="BM73" s="5"/>
      <c r="BO73" s="5">
        <f t="shared" si="45"/>
        <v>0</v>
      </c>
      <c r="BP73" s="5">
        <f t="shared" si="50"/>
        <v>0</v>
      </c>
      <c r="BQ73" s="5"/>
      <c r="BR73" s="5"/>
      <c r="BS73" s="5"/>
      <c r="BU73" s="5">
        <f t="shared" si="46"/>
        <v>0</v>
      </c>
      <c r="BV73" s="5">
        <f t="shared" si="51"/>
        <v>0</v>
      </c>
    </row>
    <row r="74" spans="1:74">
      <c r="A74" s="4" t="s">
        <v>396</v>
      </c>
      <c r="B74" s="9"/>
      <c r="C74" s="5"/>
      <c r="D74" s="5"/>
      <c r="F74" s="5"/>
      <c r="G74" s="5">
        <f t="shared" si="10"/>
        <v>0</v>
      </c>
      <c r="H74" s="5">
        <f t="shared" si="11"/>
        <v>0</v>
      </c>
      <c r="I74" s="5"/>
      <c r="J74" s="5"/>
      <c r="L74" s="5"/>
      <c r="M74" s="5">
        <f t="shared" si="12"/>
        <v>0</v>
      </c>
      <c r="N74" s="5">
        <f t="shared" si="13"/>
        <v>0</v>
      </c>
      <c r="R74" s="4">
        <v>350</v>
      </c>
      <c r="S74" s="5">
        <f t="shared" si="14"/>
        <v>350</v>
      </c>
      <c r="T74" s="5">
        <f t="shared" si="15"/>
        <v>350</v>
      </c>
      <c r="Y74" s="5">
        <f t="shared" si="16"/>
        <v>0</v>
      </c>
      <c r="Z74" s="5">
        <f t="shared" si="17"/>
        <v>350</v>
      </c>
      <c r="AE74" s="5">
        <f t="shared" si="18"/>
        <v>0</v>
      </c>
      <c r="AF74" s="5">
        <f t="shared" si="19"/>
        <v>350</v>
      </c>
      <c r="AG74" s="5"/>
      <c r="AH74" s="5"/>
      <c r="AI74" s="5"/>
      <c r="AK74" s="5">
        <f t="shared" si="20"/>
        <v>0</v>
      </c>
      <c r="AL74" s="5">
        <f t="shared" si="21"/>
        <v>350</v>
      </c>
      <c r="AM74" s="5"/>
      <c r="AN74" s="5"/>
      <c r="AO74" s="5"/>
      <c r="AQ74" s="5">
        <f t="shared" si="22"/>
        <v>0</v>
      </c>
      <c r="AR74" s="5">
        <f t="shared" si="23"/>
        <v>350</v>
      </c>
      <c r="AS74" s="5"/>
      <c r="AT74" s="5"/>
      <c r="AU74" s="5"/>
      <c r="AW74" s="5">
        <f t="shared" si="42"/>
        <v>0</v>
      </c>
      <c r="AX74" s="5">
        <f t="shared" si="47"/>
        <v>350</v>
      </c>
      <c r="AY74" s="5"/>
      <c r="AZ74" s="5"/>
      <c r="BA74" s="5"/>
      <c r="BC74" s="5">
        <f t="shared" si="43"/>
        <v>0</v>
      </c>
      <c r="BD74" s="5">
        <f t="shared" si="48"/>
        <v>350</v>
      </c>
      <c r="BE74" s="5"/>
      <c r="BF74" s="5"/>
      <c r="BG74" s="5"/>
      <c r="BI74" s="5">
        <f t="shared" si="44"/>
        <v>0</v>
      </c>
      <c r="BJ74" s="5">
        <f t="shared" si="49"/>
        <v>350</v>
      </c>
      <c r="BK74" s="5"/>
      <c r="BL74" s="5"/>
      <c r="BM74" s="5"/>
      <c r="BO74" s="5">
        <f t="shared" si="45"/>
        <v>0</v>
      </c>
      <c r="BP74" s="5">
        <f t="shared" si="50"/>
        <v>350</v>
      </c>
      <c r="BQ74" s="5"/>
      <c r="BR74" s="5"/>
      <c r="BS74" s="5"/>
      <c r="BU74" s="5">
        <f t="shared" si="46"/>
        <v>0</v>
      </c>
      <c r="BV74" s="5">
        <f t="shared" si="51"/>
        <v>350</v>
      </c>
    </row>
    <row r="75" spans="1:74">
      <c r="A75" s="4" t="s">
        <v>144</v>
      </c>
      <c r="B75" s="9"/>
      <c r="C75" s="5"/>
      <c r="D75" s="5"/>
      <c r="G75" s="5">
        <f t="shared" si="10"/>
        <v>0</v>
      </c>
      <c r="H75" s="5">
        <f>B75+G75</f>
        <v>0</v>
      </c>
      <c r="I75" s="5"/>
      <c r="J75" s="5"/>
      <c r="M75" s="5">
        <f t="shared" si="12"/>
        <v>0</v>
      </c>
      <c r="N75" s="5">
        <f t="shared" si="13"/>
        <v>0</v>
      </c>
      <c r="Q75" s="4">
        <v>15786.1</v>
      </c>
      <c r="S75" s="5">
        <f t="shared" si="14"/>
        <v>15786.1</v>
      </c>
      <c r="T75" s="5">
        <f t="shared" si="15"/>
        <v>15786.1</v>
      </c>
      <c r="Y75" s="5">
        <f t="shared" si="16"/>
        <v>0</v>
      </c>
      <c r="Z75" s="5">
        <f t="shared" si="17"/>
        <v>15786.1</v>
      </c>
      <c r="AC75" s="4">
        <v>94716.6</v>
      </c>
      <c r="AE75" s="5">
        <f t="shared" si="18"/>
        <v>94716.6</v>
      </c>
      <c r="AF75" s="5">
        <f t="shared" si="19"/>
        <v>110502.70000000001</v>
      </c>
      <c r="AK75" s="5">
        <f t="shared" si="20"/>
        <v>0</v>
      </c>
      <c r="AL75" s="5">
        <f t="shared" si="21"/>
        <v>110502.70000000001</v>
      </c>
      <c r="AQ75" s="5">
        <f t="shared" si="22"/>
        <v>0</v>
      </c>
      <c r="AR75" s="5">
        <f t="shared" si="23"/>
        <v>110502.70000000001</v>
      </c>
      <c r="AW75" s="5">
        <f t="shared" si="42"/>
        <v>0</v>
      </c>
      <c r="AX75" s="5">
        <f t="shared" si="47"/>
        <v>110502.70000000001</v>
      </c>
      <c r="BC75" s="5">
        <f t="shared" si="43"/>
        <v>0</v>
      </c>
      <c r="BD75" s="5">
        <f t="shared" si="48"/>
        <v>110502.70000000001</v>
      </c>
      <c r="BI75" s="5">
        <f t="shared" si="44"/>
        <v>0</v>
      </c>
      <c r="BJ75" s="5">
        <f t="shared" si="49"/>
        <v>110502.70000000001</v>
      </c>
      <c r="BO75" s="5">
        <f t="shared" si="45"/>
        <v>0</v>
      </c>
      <c r="BP75" s="5">
        <f t="shared" si="50"/>
        <v>110502.70000000001</v>
      </c>
      <c r="BU75" s="5">
        <f t="shared" si="46"/>
        <v>0</v>
      </c>
      <c r="BV75" s="5">
        <f t="shared" si="51"/>
        <v>110502.70000000001</v>
      </c>
    </row>
    <row r="76" spans="1:74" hidden="1">
      <c r="A76" s="4" t="s">
        <v>145</v>
      </c>
      <c r="B76" s="9"/>
      <c r="G76" s="5">
        <f t="shared" ref="G76:G86" si="52">SUM(C76:F76)</f>
        <v>0</v>
      </c>
      <c r="H76" s="5">
        <f t="shared" ref="H76:H86" si="53">B76+G76</f>
        <v>0</v>
      </c>
      <c r="M76" s="5">
        <f t="shared" ref="M76:M87" si="54">SUM(I76:L76)</f>
        <v>0</v>
      </c>
      <c r="N76" s="5">
        <f t="shared" ref="N76:N87" si="55">H76+M76</f>
        <v>0</v>
      </c>
      <c r="S76" s="5">
        <f t="shared" ref="S76:S87" si="56">SUM(O76:R76)</f>
        <v>0</v>
      </c>
      <c r="T76" s="5">
        <f t="shared" ref="T76:T87" si="57">N76+S76</f>
        <v>0</v>
      </c>
      <c r="Y76" s="5">
        <f t="shared" ref="Y76:Y87" si="58">SUM(U76:X76)</f>
        <v>0</v>
      </c>
      <c r="Z76" s="5">
        <f t="shared" ref="Z76:Z87" si="59">T76+Y76</f>
        <v>0</v>
      </c>
      <c r="AE76" s="5">
        <f t="shared" ref="AE76:AE87" si="60">SUM(AA76:AD76)</f>
        <v>0</v>
      </c>
      <c r="AF76" s="5">
        <f t="shared" ref="AF76:AF87" si="61">Z76+AE76</f>
        <v>0</v>
      </c>
      <c r="AG76" s="5"/>
      <c r="AH76" s="5"/>
      <c r="AI76" s="5"/>
      <c r="AK76" s="5">
        <f t="shared" ref="AK76:AK87" si="62">SUM(AG76:AJ76)</f>
        <v>0</v>
      </c>
      <c r="AL76" s="5">
        <f t="shared" ref="AL76:AL87" si="63">AF76+AK76</f>
        <v>0</v>
      </c>
      <c r="AM76" s="5"/>
      <c r="AN76" s="5"/>
      <c r="AO76" s="5"/>
      <c r="AQ76" s="5">
        <f t="shared" ref="AQ76:AQ87" si="64">SUM(AM76:AP76)</f>
        <v>0</v>
      </c>
      <c r="AR76" s="5">
        <f t="shared" ref="AR76:AR87" si="65">AL76+AQ76</f>
        <v>0</v>
      </c>
      <c r="AS76" s="5"/>
      <c r="AT76" s="5"/>
      <c r="AU76" s="5"/>
      <c r="AW76" s="5">
        <f t="shared" si="42"/>
        <v>0</v>
      </c>
      <c r="AX76" s="5">
        <f t="shared" si="47"/>
        <v>0</v>
      </c>
      <c r="AY76" s="5"/>
      <c r="AZ76" s="5"/>
      <c r="BA76" s="5"/>
      <c r="BC76" s="5">
        <f t="shared" si="43"/>
        <v>0</v>
      </c>
      <c r="BD76" s="5">
        <f t="shared" si="48"/>
        <v>0</v>
      </c>
      <c r="BE76" s="5"/>
      <c r="BF76" s="5"/>
      <c r="BG76" s="5"/>
      <c r="BI76" s="5">
        <f t="shared" si="44"/>
        <v>0</v>
      </c>
      <c r="BJ76" s="5">
        <f t="shared" si="49"/>
        <v>0</v>
      </c>
      <c r="BK76" s="5"/>
      <c r="BL76" s="5"/>
      <c r="BM76" s="5"/>
      <c r="BO76" s="5">
        <f t="shared" si="45"/>
        <v>0</v>
      </c>
      <c r="BP76" s="5">
        <f t="shared" si="50"/>
        <v>0</v>
      </c>
      <c r="BQ76" s="5"/>
      <c r="BR76" s="5"/>
      <c r="BS76" s="5"/>
      <c r="BU76" s="5">
        <f t="shared" si="46"/>
        <v>0</v>
      </c>
      <c r="BV76" s="5">
        <f t="shared" si="51"/>
        <v>0</v>
      </c>
    </row>
    <row r="77" spans="1:74">
      <c r="A77" s="4" t="s">
        <v>146</v>
      </c>
      <c r="B77" s="9"/>
      <c r="C77" s="5"/>
      <c r="D77" s="5"/>
      <c r="F77" s="4">
        <v>1376.6875</v>
      </c>
      <c r="G77" s="5">
        <f t="shared" si="52"/>
        <v>1376.6875</v>
      </c>
      <c r="H77" s="5">
        <f t="shared" si="53"/>
        <v>1376.6875</v>
      </c>
      <c r="I77" s="5"/>
      <c r="J77" s="5"/>
      <c r="L77" s="4">
        <v>1762.59</v>
      </c>
      <c r="M77" s="5">
        <f t="shared" si="54"/>
        <v>1762.59</v>
      </c>
      <c r="N77" s="5">
        <f t="shared" si="55"/>
        <v>3139.2775000000001</v>
      </c>
      <c r="Q77" s="4">
        <v>3938.39</v>
      </c>
      <c r="R77" s="4">
        <v>1617.32</v>
      </c>
      <c r="S77" s="5">
        <f t="shared" si="56"/>
        <v>5555.71</v>
      </c>
      <c r="T77" s="5">
        <f t="shared" si="57"/>
        <v>8694.9874999999993</v>
      </c>
      <c r="X77" s="4">
        <v>1247.9910714285713</v>
      </c>
      <c r="Y77" s="5">
        <f t="shared" si="58"/>
        <v>1247.9910714285713</v>
      </c>
      <c r="Z77" s="5">
        <f t="shared" si="59"/>
        <v>9942.9785714285699</v>
      </c>
      <c r="AD77" s="4">
        <v>1742.63</v>
      </c>
      <c r="AE77" s="5">
        <f t="shared" si="60"/>
        <v>1742.63</v>
      </c>
      <c r="AF77" s="5">
        <f t="shared" si="61"/>
        <v>11685.608571428569</v>
      </c>
      <c r="AJ77" s="4"/>
      <c r="AK77" s="5">
        <f t="shared" si="62"/>
        <v>0</v>
      </c>
      <c r="AL77" s="5">
        <f t="shared" si="63"/>
        <v>11685.608571428569</v>
      </c>
      <c r="AQ77" s="5">
        <f t="shared" si="64"/>
        <v>0</v>
      </c>
      <c r="AR77" s="5">
        <f t="shared" si="65"/>
        <v>11685.608571428569</v>
      </c>
      <c r="AW77" s="5">
        <f t="shared" si="42"/>
        <v>0</v>
      </c>
      <c r="AX77" s="5">
        <f t="shared" si="47"/>
        <v>11685.608571428569</v>
      </c>
      <c r="BC77" s="5">
        <f t="shared" si="43"/>
        <v>0</v>
      </c>
      <c r="BD77" s="5">
        <f t="shared" si="48"/>
        <v>11685.608571428569</v>
      </c>
      <c r="BI77" s="5">
        <f t="shared" si="44"/>
        <v>0</v>
      </c>
      <c r="BJ77" s="5">
        <f t="shared" si="49"/>
        <v>11685.608571428569</v>
      </c>
      <c r="BO77" s="5">
        <f t="shared" si="45"/>
        <v>0</v>
      </c>
      <c r="BP77" s="5">
        <f t="shared" si="50"/>
        <v>11685.608571428569</v>
      </c>
      <c r="BU77" s="5">
        <f t="shared" si="46"/>
        <v>0</v>
      </c>
      <c r="BV77" s="5">
        <f t="shared" si="51"/>
        <v>11685.608571428569</v>
      </c>
    </row>
    <row r="78" spans="1:74">
      <c r="A78" s="4" t="s">
        <v>147</v>
      </c>
      <c r="B78" s="9"/>
      <c r="E78" s="4">
        <v>8663.01</v>
      </c>
      <c r="G78" s="5">
        <f t="shared" si="52"/>
        <v>8663.01</v>
      </c>
      <c r="H78" s="5">
        <f t="shared" si="53"/>
        <v>8663.01</v>
      </c>
      <c r="K78" s="4">
        <v>8961.1200000000008</v>
      </c>
      <c r="M78" s="5">
        <f t="shared" si="54"/>
        <v>8961.1200000000008</v>
      </c>
      <c r="N78" s="5">
        <f t="shared" si="55"/>
        <v>17624.13</v>
      </c>
      <c r="Q78" s="4">
        <v>11245.29</v>
      </c>
      <c r="S78" s="5">
        <f t="shared" si="56"/>
        <v>11245.29</v>
      </c>
      <c r="T78" s="5">
        <f t="shared" si="57"/>
        <v>28869.420000000002</v>
      </c>
      <c r="W78" s="4">
        <v>10977.78</v>
      </c>
      <c r="Y78" s="5">
        <f t="shared" si="58"/>
        <v>10977.78</v>
      </c>
      <c r="Z78" s="5">
        <f t="shared" si="59"/>
        <v>39847.200000000004</v>
      </c>
      <c r="AC78" s="4">
        <v>12064.3</v>
      </c>
      <c r="AE78" s="5">
        <f t="shared" si="60"/>
        <v>12064.3</v>
      </c>
      <c r="AF78" s="5">
        <f t="shared" si="61"/>
        <v>51911.5</v>
      </c>
      <c r="AK78" s="5">
        <f t="shared" si="62"/>
        <v>0</v>
      </c>
      <c r="AL78" s="5">
        <f t="shared" si="63"/>
        <v>51911.5</v>
      </c>
      <c r="AQ78" s="5">
        <f t="shared" si="64"/>
        <v>0</v>
      </c>
      <c r="AR78" s="5">
        <f t="shared" si="65"/>
        <v>51911.5</v>
      </c>
      <c r="AW78" s="5">
        <f t="shared" si="42"/>
        <v>0</v>
      </c>
      <c r="AX78" s="5">
        <f t="shared" si="47"/>
        <v>51911.5</v>
      </c>
      <c r="BC78" s="5">
        <f t="shared" si="43"/>
        <v>0</v>
      </c>
      <c r="BD78" s="5">
        <f t="shared" si="48"/>
        <v>51911.5</v>
      </c>
      <c r="BI78" s="5">
        <f t="shared" si="44"/>
        <v>0</v>
      </c>
      <c r="BJ78" s="5">
        <f t="shared" si="49"/>
        <v>51911.5</v>
      </c>
      <c r="BO78" s="5">
        <f t="shared" si="45"/>
        <v>0</v>
      </c>
      <c r="BP78" s="5">
        <f t="shared" si="50"/>
        <v>51911.5</v>
      </c>
      <c r="BU78" s="5">
        <f t="shared" si="46"/>
        <v>0</v>
      </c>
      <c r="BV78" s="5">
        <f t="shared" si="51"/>
        <v>51911.5</v>
      </c>
    </row>
    <row r="79" spans="1:74">
      <c r="A79" s="4" t="s">
        <v>148</v>
      </c>
      <c r="B79" s="9"/>
      <c r="E79" s="4">
        <v>16436.939999999999</v>
      </c>
      <c r="G79" s="5">
        <f t="shared" si="52"/>
        <v>16436.939999999999</v>
      </c>
      <c r="H79" s="5">
        <f t="shared" si="53"/>
        <v>16436.939999999999</v>
      </c>
      <c r="K79" s="4">
        <v>16566.73</v>
      </c>
      <c r="M79" s="5">
        <f t="shared" si="54"/>
        <v>16566.73</v>
      </c>
      <c r="N79" s="5">
        <f t="shared" si="55"/>
        <v>33003.67</v>
      </c>
      <c r="Q79" s="4">
        <v>16358.37</v>
      </c>
      <c r="S79" s="5">
        <f t="shared" si="56"/>
        <v>16358.37</v>
      </c>
      <c r="T79" s="5">
        <f t="shared" si="57"/>
        <v>49362.04</v>
      </c>
      <c r="W79" s="4">
        <v>16355.69</v>
      </c>
      <c r="Y79" s="5">
        <f t="shared" si="58"/>
        <v>16355.69</v>
      </c>
      <c r="Z79" s="5">
        <f t="shared" si="59"/>
        <v>65717.73</v>
      </c>
      <c r="AC79" s="4">
        <v>21873.48</v>
      </c>
      <c r="AE79" s="5">
        <f t="shared" si="60"/>
        <v>21873.48</v>
      </c>
      <c r="AF79" s="5">
        <f t="shared" si="61"/>
        <v>87591.209999999992</v>
      </c>
      <c r="AK79" s="5">
        <f t="shared" si="62"/>
        <v>0</v>
      </c>
      <c r="AL79" s="5">
        <f t="shared" si="63"/>
        <v>87591.209999999992</v>
      </c>
      <c r="AQ79" s="5">
        <f t="shared" si="64"/>
        <v>0</v>
      </c>
      <c r="AR79" s="5">
        <f t="shared" si="65"/>
        <v>87591.209999999992</v>
      </c>
      <c r="AW79" s="5">
        <f t="shared" si="42"/>
        <v>0</v>
      </c>
      <c r="AX79" s="5">
        <f t="shared" si="47"/>
        <v>87591.209999999992</v>
      </c>
      <c r="BC79" s="5">
        <f t="shared" si="43"/>
        <v>0</v>
      </c>
      <c r="BD79" s="5">
        <f t="shared" si="48"/>
        <v>87591.209999999992</v>
      </c>
      <c r="BI79" s="5">
        <f t="shared" si="44"/>
        <v>0</v>
      </c>
      <c r="BJ79" s="5">
        <f t="shared" si="49"/>
        <v>87591.209999999992</v>
      </c>
      <c r="BO79" s="5">
        <f t="shared" si="45"/>
        <v>0</v>
      </c>
      <c r="BP79" s="5">
        <f t="shared" si="50"/>
        <v>87591.209999999992</v>
      </c>
      <c r="BU79" s="5">
        <f t="shared" si="46"/>
        <v>0</v>
      </c>
      <c r="BV79" s="5">
        <f t="shared" si="51"/>
        <v>87591.209999999992</v>
      </c>
    </row>
    <row r="80" spans="1:74">
      <c r="A80" s="4" t="s">
        <v>149</v>
      </c>
      <c r="B80" s="9"/>
      <c r="F80" s="4">
        <v>11243.214285714284</v>
      </c>
      <c r="G80" s="5">
        <f t="shared" si="52"/>
        <v>11243.214285714284</v>
      </c>
      <c r="H80" s="5">
        <f t="shared" si="53"/>
        <v>11243.214285714284</v>
      </c>
      <c r="L80" s="4">
        <v>13174.21</v>
      </c>
      <c r="M80" s="5">
        <f t="shared" si="54"/>
        <v>13174.21</v>
      </c>
      <c r="N80" s="5">
        <f t="shared" si="55"/>
        <v>24417.424285714282</v>
      </c>
      <c r="R80" s="4">
        <v>20478.54</v>
      </c>
      <c r="S80" s="5">
        <f t="shared" si="56"/>
        <v>20478.54</v>
      </c>
      <c r="T80" s="5">
        <f t="shared" si="57"/>
        <v>44895.964285714283</v>
      </c>
      <c r="X80" s="4">
        <v>9931.8214285714275</v>
      </c>
      <c r="Y80" s="5">
        <f t="shared" si="58"/>
        <v>9931.8214285714275</v>
      </c>
      <c r="Z80" s="5">
        <f t="shared" si="59"/>
        <v>54827.78571428571</v>
      </c>
      <c r="AD80" s="4">
        <v>14879.07</v>
      </c>
      <c r="AE80" s="5">
        <f t="shared" si="60"/>
        <v>14879.07</v>
      </c>
      <c r="AF80" s="5">
        <f t="shared" si="61"/>
        <v>69706.855714285717</v>
      </c>
      <c r="AJ80" s="4"/>
      <c r="AK80" s="5">
        <f t="shared" si="62"/>
        <v>0</v>
      </c>
      <c r="AL80" s="5">
        <f t="shared" si="63"/>
        <v>69706.855714285717</v>
      </c>
      <c r="AQ80" s="5">
        <f t="shared" si="64"/>
        <v>0</v>
      </c>
      <c r="AR80" s="5">
        <f t="shared" si="65"/>
        <v>69706.855714285717</v>
      </c>
      <c r="AW80" s="5">
        <f t="shared" ref="AW80:AW87" si="66">SUM(AS80:AV80)</f>
        <v>0</v>
      </c>
      <c r="AX80" s="5">
        <f t="shared" si="47"/>
        <v>69706.855714285717</v>
      </c>
      <c r="BC80" s="5">
        <f t="shared" si="43"/>
        <v>0</v>
      </c>
      <c r="BD80" s="5">
        <f t="shared" si="48"/>
        <v>69706.855714285717</v>
      </c>
      <c r="BI80" s="5">
        <f t="shared" ref="BI80:BI87" si="67">SUM(BE80:BH80)</f>
        <v>0</v>
      </c>
      <c r="BJ80" s="5">
        <f t="shared" si="49"/>
        <v>69706.855714285717</v>
      </c>
      <c r="BO80" s="5">
        <f t="shared" ref="BO80:BO87" si="68">SUM(BK80:BN80)</f>
        <v>0</v>
      </c>
      <c r="BP80" s="5">
        <f t="shared" si="50"/>
        <v>69706.855714285717</v>
      </c>
      <c r="BU80" s="5">
        <f t="shared" ref="BU80:BU87" si="69">SUM(BQ80:BT80)</f>
        <v>0</v>
      </c>
      <c r="BV80" s="5">
        <f t="shared" si="51"/>
        <v>69706.855714285717</v>
      </c>
    </row>
    <row r="81" spans="1:251">
      <c r="A81" s="4" t="s">
        <v>150</v>
      </c>
      <c r="B81" s="9"/>
      <c r="E81" s="4">
        <v>1819.64</v>
      </c>
      <c r="G81" s="5">
        <f t="shared" si="52"/>
        <v>1819.64</v>
      </c>
      <c r="H81" s="5">
        <f t="shared" si="53"/>
        <v>1819.64</v>
      </c>
      <c r="M81" s="5">
        <f t="shared" si="54"/>
        <v>0</v>
      </c>
      <c r="N81" s="5">
        <f t="shared" si="55"/>
        <v>1819.64</v>
      </c>
      <c r="Q81" s="4">
        <v>2630.36</v>
      </c>
      <c r="S81" s="5">
        <f t="shared" si="56"/>
        <v>2630.36</v>
      </c>
      <c r="T81" s="5">
        <f t="shared" si="57"/>
        <v>4450</v>
      </c>
      <c r="W81" s="4">
        <v>2566.96</v>
      </c>
      <c r="Y81" s="5">
        <f t="shared" si="58"/>
        <v>2566.96</v>
      </c>
      <c r="Z81" s="5">
        <f t="shared" si="59"/>
        <v>7016.96</v>
      </c>
      <c r="AE81" s="5">
        <f t="shared" si="60"/>
        <v>0</v>
      </c>
      <c r="AF81" s="5">
        <f t="shared" si="61"/>
        <v>7016.96</v>
      </c>
      <c r="AK81" s="5">
        <f t="shared" si="62"/>
        <v>0</v>
      </c>
      <c r="AL81" s="5">
        <f t="shared" si="63"/>
        <v>7016.96</v>
      </c>
      <c r="AQ81" s="5">
        <f t="shared" si="64"/>
        <v>0</v>
      </c>
      <c r="AR81" s="5">
        <f t="shared" si="65"/>
        <v>7016.96</v>
      </c>
      <c r="AW81" s="5">
        <f t="shared" si="66"/>
        <v>0</v>
      </c>
      <c r="AX81" s="5">
        <f t="shared" si="47"/>
        <v>7016.96</v>
      </c>
      <c r="BC81" s="5">
        <f t="shared" si="43"/>
        <v>0</v>
      </c>
      <c r="BD81" s="5">
        <f t="shared" si="48"/>
        <v>7016.96</v>
      </c>
      <c r="BI81" s="5">
        <f t="shared" si="67"/>
        <v>0</v>
      </c>
      <c r="BJ81" s="5">
        <f t="shared" si="49"/>
        <v>7016.96</v>
      </c>
      <c r="BO81" s="5">
        <f t="shared" si="68"/>
        <v>0</v>
      </c>
      <c r="BP81" s="5">
        <f t="shared" si="50"/>
        <v>7016.96</v>
      </c>
      <c r="BU81" s="5">
        <f t="shared" si="69"/>
        <v>0</v>
      </c>
      <c r="BV81" s="5">
        <f t="shared" si="51"/>
        <v>7016.96</v>
      </c>
    </row>
    <row r="82" spans="1:251">
      <c r="A82" s="4" t="s">
        <v>367</v>
      </c>
      <c r="B82" s="9"/>
      <c r="G82" s="5">
        <f t="shared" si="52"/>
        <v>0</v>
      </c>
      <c r="H82" s="5">
        <f t="shared" si="53"/>
        <v>0</v>
      </c>
      <c r="M82" s="5">
        <f t="shared" si="54"/>
        <v>0</v>
      </c>
      <c r="N82" s="5">
        <f t="shared" si="55"/>
        <v>0</v>
      </c>
      <c r="S82" s="5">
        <f t="shared" si="56"/>
        <v>0</v>
      </c>
      <c r="T82" s="5">
        <f t="shared" si="57"/>
        <v>0</v>
      </c>
      <c r="Y82" s="5">
        <f t="shared" si="58"/>
        <v>0</v>
      </c>
      <c r="Z82" s="5">
        <f t="shared" si="59"/>
        <v>0</v>
      </c>
      <c r="AE82" s="5">
        <f t="shared" si="60"/>
        <v>0</v>
      </c>
      <c r="AF82" s="5">
        <f t="shared" si="61"/>
        <v>0</v>
      </c>
      <c r="AK82" s="5">
        <f t="shared" si="62"/>
        <v>0</v>
      </c>
      <c r="AL82" s="5">
        <f t="shared" si="63"/>
        <v>0</v>
      </c>
      <c r="AQ82" s="5">
        <f t="shared" si="64"/>
        <v>0</v>
      </c>
      <c r="AR82" s="5">
        <f t="shared" si="65"/>
        <v>0</v>
      </c>
      <c r="AW82" s="5">
        <f>SUM(AS82:AV82)</f>
        <v>0</v>
      </c>
      <c r="AX82" s="5">
        <f>AR82+AW82</f>
        <v>0</v>
      </c>
      <c r="BC82" s="5">
        <f>SUM(AY82:BB82)</f>
        <v>0</v>
      </c>
      <c r="BD82" s="5">
        <f>AX82+BC82</f>
        <v>0</v>
      </c>
      <c r="BI82" s="5">
        <f>SUM(BE82:BH82)</f>
        <v>0</v>
      </c>
      <c r="BJ82" s="5">
        <f>BD82+BI82</f>
        <v>0</v>
      </c>
      <c r="BO82" s="5">
        <f t="shared" si="68"/>
        <v>0</v>
      </c>
      <c r="BP82" s="5">
        <f>BJ82+BO82</f>
        <v>0</v>
      </c>
      <c r="BU82" s="5">
        <f>SUM(BQ82:BT82)</f>
        <v>0</v>
      </c>
      <c r="BV82" s="5">
        <f>BP82+BU82</f>
        <v>0</v>
      </c>
    </row>
    <row r="83" spans="1:251">
      <c r="A83" s="4" t="s">
        <v>362</v>
      </c>
      <c r="B83" s="9"/>
      <c r="E83" s="4">
        <v>2400</v>
      </c>
      <c r="G83" s="5">
        <f t="shared" si="52"/>
        <v>2400</v>
      </c>
      <c r="H83" s="5">
        <f t="shared" si="53"/>
        <v>2400</v>
      </c>
      <c r="K83" s="4">
        <v>3387.5</v>
      </c>
      <c r="M83" s="5">
        <f t="shared" si="54"/>
        <v>3387.5</v>
      </c>
      <c r="N83" s="5">
        <f t="shared" si="55"/>
        <v>5787.5</v>
      </c>
      <c r="Q83" s="4">
        <v>1200</v>
      </c>
      <c r="S83" s="5">
        <f t="shared" si="56"/>
        <v>1200</v>
      </c>
      <c r="T83" s="5">
        <f t="shared" si="57"/>
        <v>6987.5</v>
      </c>
      <c r="W83" s="4">
        <v>1200</v>
      </c>
      <c r="Y83" s="5">
        <f t="shared" si="58"/>
        <v>1200</v>
      </c>
      <c r="Z83" s="5">
        <f t="shared" si="59"/>
        <v>8187.5</v>
      </c>
      <c r="AC83" s="4">
        <v>3146.43</v>
      </c>
      <c r="AE83" s="5">
        <f t="shared" si="60"/>
        <v>3146.43</v>
      </c>
      <c r="AF83" s="5">
        <f t="shared" si="61"/>
        <v>11333.93</v>
      </c>
      <c r="AI83" s="5"/>
      <c r="AK83" s="5">
        <f t="shared" si="62"/>
        <v>0</v>
      </c>
      <c r="AL83" s="5">
        <f t="shared" si="63"/>
        <v>11333.93</v>
      </c>
      <c r="AQ83" s="5">
        <f t="shared" si="64"/>
        <v>0</v>
      </c>
      <c r="AR83" s="5">
        <f t="shared" si="65"/>
        <v>11333.93</v>
      </c>
      <c r="AW83" s="5">
        <f>SUM(AS83:AV83)</f>
        <v>0</v>
      </c>
      <c r="AX83" s="5">
        <f>AR83+AW83</f>
        <v>11333.93</v>
      </c>
      <c r="BC83" s="5">
        <f>SUM(AY83:BB83)</f>
        <v>0</v>
      </c>
      <c r="BD83" s="5">
        <f>AX83+BC83</f>
        <v>11333.93</v>
      </c>
      <c r="BI83" s="5">
        <f>SUM(BE83:BH83)</f>
        <v>0</v>
      </c>
      <c r="BJ83" s="5">
        <f>BD83+BI83</f>
        <v>11333.93</v>
      </c>
      <c r="BO83" s="5">
        <f t="shared" si="68"/>
        <v>0</v>
      </c>
      <c r="BP83" s="5">
        <f>BJ83+BO83</f>
        <v>11333.93</v>
      </c>
      <c r="BU83" s="5">
        <f>SUM(BQ83:BT83)</f>
        <v>0</v>
      </c>
      <c r="BV83" s="5">
        <f>BP83+BU83</f>
        <v>11333.93</v>
      </c>
    </row>
    <row r="84" spans="1:251">
      <c r="A84" s="4" t="s">
        <v>151</v>
      </c>
      <c r="B84" s="9"/>
      <c r="G84" s="5">
        <f t="shared" si="52"/>
        <v>0</v>
      </c>
      <c r="H84" s="5">
        <f t="shared" si="53"/>
        <v>0</v>
      </c>
      <c r="L84" s="4">
        <v>414.29</v>
      </c>
      <c r="M84" s="5">
        <f t="shared" si="54"/>
        <v>414.29</v>
      </c>
      <c r="N84" s="5">
        <f t="shared" si="55"/>
        <v>414.29</v>
      </c>
      <c r="R84" s="4">
        <v>259.82</v>
      </c>
      <c r="S84" s="5">
        <f t="shared" si="56"/>
        <v>259.82</v>
      </c>
      <c r="T84" s="5">
        <f t="shared" si="57"/>
        <v>674.11</v>
      </c>
      <c r="Y84" s="5">
        <f t="shared" si="58"/>
        <v>0</v>
      </c>
      <c r="Z84" s="5">
        <f t="shared" si="59"/>
        <v>674.11</v>
      </c>
      <c r="AE84" s="5">
        <f t="shared" si="60"/>
        <v>0</v>
      </c>
      <c r="AF84" s="5">
        <f t="shared" si="61"/>
        <v>674.11</v>
      </c>
      <c r="AK84" s="5">
        <f t="shared" si="62"/>
        <v>0</v>
      </c>
      <c r="AL84" s="5">
        <f t="shared" si="63"/>
        <v>674.11</v>
      </c>
      <c r="AQ84" s="5">
        <f t="shared" si="64"/>
        <v>0</v>
      </c>
      <c r="AR84" s="5">
        <f t="shared" si="65"/>
        <v>674.11</v>
      </c>
      <c r="AW84" s="5">
        <f t="shared" si="66"/>
        <v>0</v>
      </c>
      <c r="AX84" s="5">
        <f t="shared" si="47"/>
        <v>674.11</v>
      </c>
      <c r="BC84" s="5">
        <f>SUM(AY84:BB84)</f>
        <v>0</v>
      </c>
      <c r="BD84" s="5">
        <f>AX84+BC84</f>
        <v>674.11</v>
      </c>
      <c r="BI84" s="5">
        <f>SUM(BE84:BH84)</f>
        <v>0</v>
      </c>
      <c r="BJ84" s="5">
        <f>BD84+BI84</f>
        <v>674.11</v>
      </c>
      <c r="BO84" s="5">
        <f t="shared" si="68"/>
        <v>0</v>
      </c>
      <c r="BP84" s="5">
        <f>BJ84+BO84</f>
        <v>674.11</v>
      </c>
      <c r="BU84" s="5">
        <f t="shared" si="69"/>
        <v>0</v>
      </c>
      <c r="BV84" s="5">
        <f t="shared" si="51"/>
        <v>674.11</v>
      </c>
    </row>
    <row r="85" spans="1:251">
      <c r="A85" s="4" t="s">
        <v>152</v>
      </c>
      <c r="B85" s="9"/>
      <c r="G85" s="5">
        <f t="shared" si="52"/>
        <v>0</v>
      </c>
      <c r="H85" s="5">
        <f t="shared" si="53"/>
        <v>0</v>
      </c>
      <c r="M85" s="5">
        <f t="shared" si="54"/>
        <v>0</v>
      </c>
      <c r="N85" s="5">
        <f t="shared" si="55"/>
        <v>0</v>
      </c>
      <c r="Q85" s="4">
        <v>1141.26</v>
      </c>
      <c r="S85" s="5">
        <f t="shared" si="56"/>
        <v>1141.26</v>
      </c>
      <c r="T85" s="5">
        <f t="shared" si="57"/>
        <v>1141.26</v>
      </c>
      <c r="Y85" s="5">
        <f t="shared" si="58"/>
        <v>0</v>
      </c>
      <c r="Z85" s="5">
        <f t="shared" si="59"/>
        <v>1141.26</v>
      </c>
      <c r="AE85" s="5">
        <f t="shared" si="60"/>
        <v>0</v>
      </c>
      <c r="AF85" s="5">
        <f t="shared" si="61"/>
        <v>1141.26</v>
      </c>
      <c r="AG85" s="5"/>
      <c r="AH85" s="5"/>
      <c r="AI85" s="5"/>
      <c r="AK85" s="5">
        <f t="shared" si="62"/>
        <v>0</v>
      </c>
      <c r="AL85" s="5">
        <f t="shared" si="63"/>
        <v>1141.26</v>
      </c>
      <c r="AM85" s="5"/>
      <c r="AN85" s="5"/>
      <c r="AO85" s="5"/>
      <c r="AQ85" s="5">
        <f t="shared" si="64"/>
        <v>0</v>
      </c>
      <c r="AR85" s="5">
        <f t="shared" si="65"/>
        <v>1141.26</v>
      </c>
      <c r="AS85" s="5"/>
      <c r="AT85" s="5"/>
      <c r="AU85" s="5"/>
      <c r="AW85" s="5">
        <f t="shared" si="66"/>
        <v>0</v>
      </c>
      <c r="AX85" s="5">
        <f t="shared" si="47"/>
        <v>1141.26</v>
      </c>
      <c r="AY85" s="5"/>
      <c r="AZ85" s="5"/>
      <c r="BA85" s="5"/>
      <c r="BC85" s="5">
        <f t="shared" si="43"/>
        <v>0</v>
      </c>
      <c r="BD85" s="5">
        <f t="shared" si="48"/>
        <v>1141.26</v>
      </c>
      <c r="BE85" s="5"/>
      <c r="BF85" s="5"/>
      <c r="BG85" s="5"/>
      <c r="BI85" s="5">
        <f t="shared" si="67"/>
        <v>0</v>
      </c>
      <c r="BJ85" s="5">
        <f t="shared" si="49"/>
        <v>1141.26</v>
      </c>
      <c r="BK85" s="5"/>
      <c r="BL85" s="5"/>
      <c r="BM85" s="5"/>
      <c r="BO85" s="5">
        <f t="shared" si="68"/>
        <v>0</v>
      </c>
      <c r="BP85" s="5">
        <f>BJ85+BO85</f>
        <v>1141.26</v>
      </c>
      <c r="BQ85" s="5"/>
      <c r="BR85" s="5"/>
      <c r="BS85" s="5"/>
      <c r="BU85" s="5">
        <f t="shared" si="69"/>
        <v>0</v>
      </c>
      <c r="BV85" s="5">
        <f t="shared" si="51"/>
        <v>1141.26</v>
      </c>
    </row>
    <row r="86" spans="1:251">
      <c r="A86" s="4" t="s">
        <v>153</v>
      </c>
      <c r="B86" s="9"/>
      <c r="E86" s="4">
        <v>100</v>
      </c>
      <c r="G86" s="5">
        <f t="shared" si="52"/>
        <v>100</v>
      </c>
      <c r="H86" s="5">
        <f t="shared" si="53"/>
        <v>100</v>
      </c>
      <c r="M86" s="5">
        <f t="shared" si="54"/>
        <v>0</v>
      </c>
      <c r="N86" s="5">
        <f t="shared" si="55"/>
        <v>100</v>
      </c>
      <c r="S86" s="5">
        <f t="shared" si="56"/>
        <v>0</v>
      </c>
      <c r="T86" s="5">
        <f t="shared" si="57"/>
        <v>100</v>
      </c>
      <c r="V86" s="4">
        <v>7444.65</v>
      </c>
      <c r="W86" s="4">
        <v>50</v>
      </c>
      <c r="Y86" s="5">
        <f t="shared" si="58"/>
        <v>7494.65</v>
      </c>
      <c r="Z86" s="5">
        <f t="shared" si="59"/>
        <v>7594.65</v>
      </c>
      <c r="AD86" s="4">
        <f>1320.8+445</f>
        <v>1765.8</v>
      </c>
      <c r="AE86" s="5">
        <f t="shared" si="60"/>
        <v>1765.8</v>
      </c>
      <c r="AF86" s="5">
        <f t="shared" si="61"/>
        <v>9360.4499999999989</v>
      </c>
      <c r="AK86" s="5">
        <f t="shared" si="62"/>
        <v>0</v>
      </c>
      <c r="AL86" s="5">
        <f t="shared" si="63"/>
        <v>9360.4499999999989</v>
      </c>
      <c r="AQ86" s="5">
        <f t="shared" si="64"/>
        <v>0</v>
      </c>
      <c r="AR86" s="5">
        <f t="shared" si="65"/>
        <v>9360.4499999999989</v>
      </c>
      <c r="AW86" s="5">
        <f t="shared" si="66"/>
        <v>0</v>
      </c>
      <c r="AX86" s="5">
        <f t="shared" si="47"/>
        <v>9360.4499999999989</v>
      </c>
      <c r="BC86" s="5">
        <f t="shared" si="43"/>
        <v>0</v>
      </c>
      <c r="BD86" s="5">
        <f t="shared" si="48"/>
        <v>9360.4499999999989</v>
      </c>
      <c r="BI86" s="5">
        <f t="shared" si="67"/>
        <v>0</v>
      </c>
      <c r="BJ86" s="5">
        <f t="shared" si="49"/>
        <v>9360.4499999999989</v>
      </c>
      <c r="BO86" s="5">
        <f t="shared" si="68"/>
        <v>0</v>
      </c>
      <c r="BP86" s="5">
        <f>BJ86+BO86</f>
        <v>9360.4499999999989</v>
      </c>
      <c r="BU86" s="5">
        <f t="shared" si="69"/>
        <v>0</v>
      </c>
      <c r="BV86" s="5">
        <f t="shared" si="51"/>
        <v>9360.4499999999989</v>
      </c>
    </row>
    <row r="87" spans="1:251">
      <c r="A87" s="4" t="s">
        <v>313</v>
      </c>
      <c r="B87" s="9"/>
      <c r="G87" s="5">
        <f>SUM(C87:F87)</f>
        <v>0</v>
      </c>
      <c r="H87" s="5">
        <f>B87+G87</f>
        <v>0</v>
      </c>
      <c r="M87" s="5">
        <f t="shared" si="54"/>
        <v>0</v>
      </c>
      <c r="N87" s="5">
        <f t="shared" si="55"/>
        <v>0</v>
      </c>
      <c r="S87" s="5">
        <f t="shared" si="56"/>
        <v>0</v>
      </c>
      <c r="T87" s="5">
        <f t="shared" si="57"/>
        <v>0</v>
      </c>
      <c r="Y87" s="5">
        <f t="shared" si="58"/>
        <v>0</v>
      </c>
      <c r="Z87" s="5">
        <f t="shared" si="59"/>
        <v>0</v>
      </c>
      <c r="AE87" s="5">
        <f t="shared" si="60"/>
        <v>0</v>
      </c>
      <c r="AF87" s="5">
        <f t="shared" si="61"/>
        <v>0</v>
      </c>
      <c r="AK87" s="5">
        <f t="shared" si="62"/>
        <v>0</v>
      </c>
      <c r="AL87" s="5">
        <f t="shared" si="63"/>
        <v>0</v>
      </c>
      <c r="AQ87" s="5">
        <f t="shared" si="64"/>
        <v>0</v>
      </c>
      <c r="AR87" s="5">
        <f t="shared" si="65"/>
        <v>0</v>
      </c>
      <c r="AW87" s="5">
        <f t="shared" si="66"/>
        <v>0</v>
      </c>
      <c r="AX87" s="5">
        <f t="shared" si="47"/>
        <v>0</v>
      </c>
      <c r="BC87" s="5">
        <f t="shared" si="43"/>
        <v>0</v>
      </c>
      <c r="BD87" s="5">
        <f t="shared" si="48"/>
        <v>0</v>
      </c>
      <c r="BI87" s="5">
        <f t="shared" si="67"/>
        <v>0</v>
      </c>
      <c r="BJ87" s="5">
        <f t="shared" si="49"/>
        <v>0</v>
      </c>
      <c r="BO87" s="5">
        <f t="shared" si="68"/>
        <v>0</v>
      </c>
      <c r="BP87" s="5">
        <f t="shared" si="50"/>
        <v>0</v>
      </c>
      <c r="BU87" s="5">
        <f t="shared" si="69"/>
        <v>0</v>
      </c>
      <c r="BV87" s="5">
        <f t="shared" si="51"/>
        <v>0</v>
      </c>
    </row>
    <row r="88" spans="1:251" s="14" customFormat="1" ht="12.75" thickBot="1">
      <c r="A88" s="304" t="s">
        <v>154</v>
      </c>
      <c r="B88" s="13">
        <f>SUM(B6:B87)</f>
        <v>-0.13717661704868078</v>
      </c>
      <c r="C88" s="13">
        <f t="shared" ref="C88:H88" si="70">SUM(C6:C87)</f>
        <v>8.8220986071974039E-11</v>
      </c>
      <c r="D88" s="13">
        <f t="shared" si="70"/>
        <v>-1.0231815394945443E-10</v>
      </c>
      <c r="E88" s="13">
        <f t="shared" si="70"/>
        <v>-3.9108272176235914E-11</v>
      </c>
      <c r="F88" s="13">
        <f t="shared" si="70"/>
        <v>-5.0000269766314887E-5</v>
      </c>
      <c r="G88" s="13">
        <f>SUM(G6:G87)</f>
        <v>-5.0000192459265236E-5</v>
      </c>
      <c r="H88" s="13">
        <f t="shared" si="70"/>
        <v>-0.13722661572774086</v>
      </c>
      <c r="I88" s="13">
        <f t="shared" ref="I88:S88" si="71">SUM(I6:I87)</f>
        <v>-1.4551915228366852E-10</v>
      </c>
      <c r="J88" s="13">
        <f t="shared" si="71"/>
        <v>1.0231815394945443E-10</v>
      </c>
      <c r="K88" s="13">
        <f t="shared" si="71"/>
        <v>4.7293724492192268E-11</v>
      </c>
      <c r="L88" s="13">
        <f t="shared" si="71"/>
        <v>-4.494047691821379E-3</v>
      </c>
      <c r="M88" s="13">
        <f t="shared" si="71"/>
        <v>-4.494047728201167E-3</v>
      </c>
      <c r="N88" s="13">
        <f t="shared" si="71"/>
        <v>-13947.257434949519</v>
      </c>
      <c r="O88" s="13">
        <f t="shared" si="71"/>
        <v>0</v>
      </c>
      <c r="P88" s="13">
        <f t="shared" si="71"/>
        <v>1.0231815394945443E-10</v>
      </c>
      <c r="Q88" s="13">
        <f t="shared" si="71"/>
        <v>4.6611603465862572E-11</v>
      </c>
      <c r="R88" s="13">
        <f t="shared" si="71"/>
        <v>5.1215920393588021E-11</v>
      </c>
      <c r="S88" s="13">
        <f t="shared" si="71"/>
        <v>1.3596945791505277E-10</v>
      </c>
      <c r="T88" s="13">
        <f>SUM(T6:T87)</f>
        <v>-13947.257434948611</v>
      </c>
      <c r="U88" s="13">
        <f t="shared" ref="U88:Z88" si="72">SUM(U6:U87)</f>
        <v>-6.5256244852207601E-11</v>
      </c>
      <c r="V88" s="13">
        <f t="shared" si="72"/>
        <v>-4.638422979041934E-11</v>
      </c>
      <c r="W88" s="13">
        <f t="shared" si="72"/>
        <v>-8.1854523159563541E-12</v>
      </c>
      <c r="X88" s="13">
        <f t="shared" si="72"/>
        <v>3.8595255136897322E-4</v>
      </c>
      <c r="Y88" s="13">
        <f>SUM(Y6:Y87)</f>
        <v>3.8595250043726992E-4</v>
      </c>
      <c r="Z88" s="13">
        <f t="shared" si="72"/>
        <v>-13947.257048994272</v>
      </c>
      <c r="AA88" s="13">
        <f t="shared" ref="AA88:AK88" si="73">SUM(AA6:AA87)</f>
        <v>2.8571430220836191E-3</v>
      </c>
      <c r="AB88" s="13">
        <f t="shared" si="73"/>
        <v>-2.8194335754960775E-11</v>
      </c>
      <c r="AC88" s="13">
        <f t="shared" si="73"/>
        <v>-5.1386450650170445E-11</v>
      </c>
      <c r="AD88" s="13">
        <f t="shared" si="73"/>
        <v>-4.5840474042506685E-3</v>
      </c>
      <c r="AE88" s="13">
        <f t="shared" si="73"/>
        <v>-1.7269040688461246E-3</v>
      </c>
      <c r="AF88" s="13">
        <f t="shared" si="73"/>
        <v>-13947.258775900025</v>
      </c>
      <c r="AG88" s="13">
        <f t="shared" si="73"/>
        <v>0</v>
      </c>
      <c r="AH88" s="13">
        <f t="shared" si="73"/>
        <v>0</v>
      </c>
      <c r="AI88" s="13">
        <f t="shared" si="73"/>
        <v>0</v>
      </c>
      <c r="AJ88" s="13">
        <f t="shared" si="73"/>
        <v>0</v>
      </c>
      <c r="AK88" s="13">
        <f t="shared" si="73"/>
        <v>0</v>
      </c>
      <c r="AL88" s="13">
        <f t="shared" ref="AL88:BQ88" si="74">SUM(AL6:AL87)</f>
        <v>-13947.258775900025</v>
      </c>
      <c r="AM88" s="13">
        <f t="shared" si="74"/>
        <v>0</v>
      </c>
      <c r="AN88" s="13">
        <f t="shared" si="74"/>
        <v>0</v>
      </c>
      <c r="AO88" s="13">
        <f t="shared" si="74"/>
        <v>0</v>
      </c>
      <c r="AP88" s="13">
        <f t="shared" si="74"/>
        <v>0</v>
      </c>
      <c r="AQ88" s="13">
        <f>SUM(AQ6:AQ87)</f>
        <v>0</v>
      </c>
      <c r="AR88" s="13">
        <f t="shared" si="74"/>
        <v>-13947.258775900025</v>
      </c>
      <c r="AS88" s="13">
        <f t="shared" si="74"/>
        <v>0</v>
      </c>
      <c r="AT88" s="13">
        <f t="shared" si="74"/>
        <v>0</v>
      </c>
      <c r="AU88" s="13">
        <f t="shared" si="74"/>
        <v>0</v>
      </c>
      <c r="AV88" s="13">
        <f t="shared" si="74"/>
        <v>0</v>
      </c>
      <c r="AW88" s="13">
        <f t="shared" si="74"/>
        <v>0</v>
      </c>
      <c r="AX88" s="13">
        <f t="shared" si="74"/>
        <v>-13947.258775900025</v>
      </c>
      <c r="AY88" s="13">
        <f t="shared" si="74"/>
        <v>0</v>
      </c>
      <c r="AZ88" s="13">
        <f t="shared" si="74"/>
        <v>0</v>
      </c>
      <c r="BA88" s="13">
        <f t="shared" si="74"/>
        <v>0</v>
      </c>
      <c r="BB88" s="13">
        <f t="shared" si="74"/>
        <v>0</v>
      </c>
      <c r="BC88" s="13">
        <f t="shared" si="74"/>
        <v>0</v>
      </c>
      <c r="BD88" s="13">
        <f t="shared" si="74"/>
        <v>-13947.258775900025</v>
      </c>
      <c r="BE88" s="13">
        <f t="shared" si="74"/>
        <v>0</v>
      </c>
      <c r="BF88" s="13">
        <f t="shared" si="74"/>
        <v>0</v>
      </c>
      <c r="BG88" s="13">
        <f t="shared" si="74"/>
        <v>0</v>
      </c>
      <c r="BH88" s="13">
        <f>SUM(BH6:BH87)</f>
        <v>0</v>
      </c>
      <c r="BI88" s="13">
        <f t="shared" si="74"/>
        <v>0</v>
      </c>
      <c r="BJ88" s="13">
        <f t="shared" si="74"/>
        <v>-13947.258775900025</v>
      </c>
      <c r="BK88" s="13">
        <f t="shared" si="74"/>
        <v>0</v>
      </c>
      <c r="BL88" s="13">
        <f t="shared" si="74"/>
        <v>0</v>
      </c>
      <c r="BM88" s="13">
        <f t="shared" si="74"/>
        <v>0</v>
      </c>
      <c r="BN88" s="13">
        <f t="shared" si="74"/>
        <v>0</v>
      </c>
      <c r="BO88" s="13">
        <f>SUM(BO6:BO87)</f>
        <v>0</v>
      </c>
      <c r="BP88" s="13">
        <f>SUM(BP6:BP87)</f>
        <v>-13947.258775900025</v>
      </c>
      <c r="BQ88" s="13">
        <f t="shared" si="74"/>
        <v>0</v>
      </c>
      <c r="BR88" s="13">
        <f t="shared" ref="BR88:CW88" si="75">SUM(BR6:BR87)</f>
        <v>0</v>
      </c>
      <c r="BS88" s="13">
        <f t="shared" si="75"/>
        <v>0</v>
      </c>
      <c r="BT88" s="13">
        <f t="shared" si="75"/>
        <v>0</v>
      </c>
      <c r="BU88" s="13">
        <f t="shared" si="75"/>
        <v>0</v>
      </c>
      <c r="BV88" s="13">
        <f t="shared" si="75"/>
        <v>-13947.258775900025</v>
      </c>
      <c r="BW88" s="13">
        <f t="shared" si="75"/>
        <v>0</v>
      </c>
      <c r="BX88" s="13">
        <f t="shared" si="75"/>
        <v>0</v>
      </c>
      <c r="BY88" s="13">
        <f t="shared" si="75"/>
        <v>0</v>
      </c>
      <c r="BZ88" s="13">
        <f t="shared" si="75"/>
        <v>0</v>
      </c>
      <c r="CA88" s="13">
        <f t="shared" si="75"/>
        <v>0</v>
      </c>
      <c r="CB88" s="13">
        <f t="shared" si="75"/>
        <v>0</v>
      </c>
      <c r="CC88" s="13">
        <f t="shared" si="75"/>
        <v>0</v>
      </c>
      <c r="CD88" s="13">
        <f t="shared" si="75"/>
        <v>0</v>
      </c>
      <c r="CE88" s="13">
        <f t="shared" si="75"/>
        <v>0</v>
      </c>
      <c r="CF88" s="13">
        <f t="shared" si="75"/>
        <v>0</v>
      </c>
      <c r="CG88" s="13">
        <f t="shared" si="75"/>
        <v>0</v>
      </c>
      <c r="CH88" s="13">
        <f t="shared" si="75"/>
        <v>0</v>
      </c>
      <c r="CI88" s="13">
        <f t="shared" si="75"/>
        <v>0</v>
      </c>
      <c r="CJ88" s="13">
        <f t="shared" si="75"/>
        <v>0</v>
      </c>
      <c r="CK88" s="13">
        <f t="shared" si="75"/>
        <v>0</v>
      </c>
      <c r="CL88" s="13">
        <f t="shared" si="75"/>
        <v>0</v>
      </c>
      <c r="CM88" s="13">
        <f t="shared" si="75"/>
        <v>0</v>
      </c>
      <c r="CN88" s="13">
        <f t="shared" si="75"/>
        <v>0</v>
      </c>
      <c r="CO88" s="13">
        <f t="shared" si="75"/>
        <v>0</v>
      </c>
      <c r="CP88" s="13">
        <f t="shared" si="75"/>
        <v>0</v>
      </c>
      <c r="CQ88" s="13">
        <f t="shared" si="75"/>
        <v>0</v>
      </c>
      <c r="CR88" s="13">
        <f t="shared" si="75"/>
        <v>0</v>
      </c>
      <c r="CS88" s="13">
        <f t="shared" si="75"/>
        <v>0</v>
      </c>
      <c r="CT88" s="13">
        <f t="shared" si="75"/>
        <v>0</v>
      </c>
      <c r="CU88" s="13">
        <f t="shared" si="75"/>
        <v>0</v>
      </c>
      <c r="CV88" s="13">
        <f t="shared" si="75"/>
        <v>0</v>
      </c>
      <c r="CW88" s="13">
        <f t="shared" si="75"/>
        <v>0</v>
      </c>
      <c r="CX88" s="13">
        <f t="shared" ref="CX88:FI88" si="76">SUM(CX6:CX87)</f>
        <v>0</v>
      </c>
      <c r="CY88" s="13">
        <f t="shared" si="76"/>
        <v>0</v>
      </c>
      <c r="CZ88" s="13">
        <f t="shared" si="76"/>
        <v>0</v>
      </c>
      <c r="DA88" s="13">
        <f t="shared" si="76"/>
        <v>0</v>
      </c>
      <c r="DB88" s="13">
        <f t="shared" si="76"/>
        <v>0</v>
      </c>
      <c r="DC88" s="13">
        <f t="shared" si="76"/>
        <v>0</v>
      </c>
      <c r="DD88" s="13">
        <f t="shared" si="76"/>
        <v>0</v>
      </c>
      <c r="DE88" s="13">
        <f t="shared" si="76"/>
        <v>0</v>
      </c>
      <c r="DF88" s="13">
        <f t="shared" si="76"/>
        <v>0</v>
      </c>
      <c r="DG88" s="13">
        <f t="shared" si="76"/>
        <v>0</v>
      </c>
      <c r="DH88" s="13">
        <f t="shared" si="76"/>
        <v>0</v>
      </c>
      <c r="DI88" s="13">
        <f t="shared" si="76"/>
        <v>0</v>
      </c>
      <c r="DJ88" s="13">
        <f t="shared" si="76"/>
        <v>0</v>
      </c>
      <c r="DK88" s="13">
        <f t="shared" si="76"/>
        <v>0</v>
      </c>
      <c r="DL88" s="13">
        <f t="shared" si="76"/>
        <v>0</v>
      </c>
      <c r="DM88" s="13">
        <f t="shared" si="76"/>
        <v>0</v>
      </c>
      <c r="DN88" s="13">
        <f t="shared" si="76"/>
        <v>0</v>
      </c>
      <c r="DO88" s="13">
        <f t="shared" si="76"/>
        <v>0</v>
      </c>
      <c r="DP88" s="13">
        <f t="shared" si="76"/>
        <v>0</v>
      </c>
      <c r="DQ88" s="13">
        <f t="shared" si="76"/>
        <v>0</v>
      </c>
      <c r="DR88" s="13">
        <f t="shared" si="76"/>
        <v>0</v>
      </c>
      <c r="DS88" s="13">
        <f t="shared" si="76"/>
        <v>0</v>
      </c>
      <c r="DT88" s="13">
        <f t="shared" si="76"/>
        <v>0</v>
      </c>
      <c r="DU88" s="13">
        <f t="shared" si="76"/>
        <v>0</v>
      </c>
      <c r="DV88" s="13">
        <f t="shared" si="76"/>
        <v>0</v>
      </c>
      <c r="DW88" s="13">
        <f t="shared" si="76"/>
        <v>0</v>
      </c>
      <c r="DX88" s="13">
        <f t="shared" si="76"/>
        <v>0</v>
      </c>
      <c r="DY88" s="13">
        <f t="shared" si="76"/>
        <v>0</v>
      </c>
      <c r="DZ88" s="13">
        <f t="shared" si="76"/>
        <v>0</v>
      </c>
      <c r="EA88" s="13">
        <f t="shared" si="76"/>
        <v>0</v>
      </c>
      <c r="EB88" s="13">
        <f t="shared" si="76"/>
        <v>0</v>
      </c>
      <c r="EC88" s="13">
        <f t="shared" si="76"/>
        <v>0</v>
      </c>
      <c r="ED88" s="13">
        <f t="shared" si="76"/>
        <v>0</v>
      </c>
      <c r="EE88" s="13">
        <f t="shared" si="76"/>
        <v>0</v>
      </c>
      <c r="EF88" s="13">
        <f t="shared" si="76"/>
        <v>0</v>
      </c>
      <c r="EG88" s="13">
        <f t="shared" si="76"/>
        <v>0</v>
      </c>
      <c r="EH88" s="13">
        <f t="shared" si="76"/>
        <v>0</v>
      </c>
      <c r="EI88" s="13">
        <f t="shared" si="76"/>
        <v>0</v>
      </c>
      <c r="EJ88" s="13">
        <f t="shared" si="76"/>
        <v>0</v>
      </c>
      <c r="EK88" s="13">
        <f t="shared" si="76"/>
        <v>0</v>
      </c>
      <c r="EL88" s="13">
        <f t="shared" si="76"/>
        <v>0</v>
      </c>
      <c r="EM88" s="13">
        <f t="shared" si="76"/>
        <v>0</v>
      </c>
      <c r="EN88" s="13">
        <f t="shared" si="76"/>
        <v>0</v>
      </c>
      <c r="EO88" s="13">
        <f t="shared" si="76"/>
        <v>0</v>
      </c>
      <c r="EP88" s="13">
        <f t="shared" si="76"/>
        <v>0</v>
      </c>
      <c r="EQ88" s="13">
        <f t="shared" si="76"/>
        <v>0</v>
      </c>
      <c r="ER88" s="13">
        <f t="shared" si="76"/>
        <v>0</v>
      </c>
      <c r="ES88" s="13">
        <f t="shared" si="76"/>
        <v>0</v>
      </c>
      <c r="ET88" s="13">
        <f t="shared" si="76"/>
        <v>0</v>
      </c>
      <c r="EU88" s="13">
        <f t="shared" si="76"/>
        <v>0</v>
      </c>
      <c r="EV88" s="13">
        <f t="shared" si="76"/>
        <v>0</v>
      </c>
      <c r="EW88" s="13">
        <f t="shared" si="76"/>
        <v>0</v>
      </c>
      <c r="EX88" s="13">
        <f t="shared" si="76"/>
        <v>0</v>
      </c>
      <c r="EY88" s="13">
        <f t="shared" si="76"/>
        <v>0</v>
      </c>
      <c r="EZ88" s="13">
        <f t="shared" si="76"/>
        <v>0</v>
      </c>
      <c r="FA88" s="13">
        <f t="shared" si="76"/>
        <v>0</v>
      </c>
      <c r="FB88" s="13">
        <f t="shared" si="76"/>
        <v>0</v>
      </c>
      <c r="FC88" s="13">
        <f t="shared" si="76"/>
        <v>0</v>
      </c>
      <c r="FD88" s="13">
        <f t="shared" si="76"/>
        <v>0</v>
      </c>
      <c r="FE88" s="13">
        <f t="shared" si="76"/>
        <v>0</v>
      </c>
      <c r="FF88" s="13">
        <f t="shared" si="76"/>
        <v>0</v>
      </c>
      <c r="FG88" s="13">
        <f t="shared" si="76"/>
        <v>0</v>
      </c>
      <c r="FH88" s="13">
        <f t="shared" si="76"/>
        <v>0</v>
      </c>
      <c r="FI88" s="13">
        <f t="shared" si="76"/>
        <v>0</v>
      </c>
      <c r="FJ88" s="13">
        <f t="shared" ref="FJ88:HU88" si="77">SUM(FJ6:FJ87)</f>
        <v>0</v>
      </c>
      <c r="FK88" s="13">
        <f t="shared" si="77"/>
        <v>0</v>
      </c>
      <c r="FL88" s="13">
        <f t="shared" si="77"/>
        <v>0</v>
      </c>
      <c r="FM88" s="13">
        <f t="shared" si="77"/>
        <v>0</v>
      </c>
      <c r="FN88" s="13">
        <f t="shared" si="77"/>
        <v>0</v>
      </c>
      <c r="FO88" s="13">
        <f t="shared" si="77"/>
        <v>0</v>
      </c>
      <c r="FP88" s="13">
        <f t="shared" si="77"/>
        <v>0</v>
      </c>
      <c r="FQ88" s="13">
        <f t="shared" si="77"/>
        <v>0</v>
      </c>
      <c r="FR88" s="13">
        <f t="shared" si="77"/>
        <v>0</v>
      </c>
      <c r="FS88" s="13">
        <f t="shared" si="77"/>
        <v>0</v>
      </c>
      <c r="FT88" s="13">
        <f t="shared" si="77"/>
        <v>0</v>
      </c>
      <c r="FU88" s="13">
        <f t="shared" si="77"/>
        <v>0</v>
      </c>
      <c r="FV88" s="13">
        <f t="shared" si="77"/>
        <v>0</v>
      </c>
      <c r="FW88" s="13">
        <f t="shared" si="77"/>
        <v>0</v>
      </c>
      <c r="FX88" s="13">
        <f t="shared" si="77"/>
        <v>0</v>
      </c>
      <c r="FY88" s="13">
        <f t="shared" si="77"/>
        <v>0</v>
      </c>
      <c r="FZ88" s="13">
        <f t="shared" si="77"/>
        <v>0</v>
      </c>
      <c r="GA88" s="13">
        <f t="shared" si="77"/>
        <v>0</v>
      </c>
      <c r="GB88" s="13">
        <f t="shared" si="77"/>
        <v>0</v>
      </c>
      <c r="GC88" s="13">
        <f t="shared" si="77"/>
        <v>0</v>
      </c>
      <c r="GD88" s="13">
        <f t="shared" si="77"/>
        <v>0</v>
      </c>
      <c r="GE88" s="13">
        <f t="shared" si="77"/>
        <v>0</v>
      </c>
      <c r="GF88" s="13">
        <f t="shared" si="77"/>
        <v>0</v>
      </c>
      <c r="GG88" s="13">
        <f t="shared" si="77"/>
        <v>0</v>
      </c>
      <c r="GH88" s="13">
        <f t="shared" si="77"/>
        <v>0</v>
      </c>
      <c r="GI88" s="13">
        <f t="shared" si="77"/>
        <v>0</v>
      </c>
      <c r="GJ88" s="13">
        <f t="shared" si="77"/>
        <v>0</v>
      </c>
      <c r="GK88" s="13">
        <f t="shared" si="77"/>
        <v>0</v>
      </c>
      <c r="GL88" s="13">
        <f t="shared" si="77"/>
        <v>0</v>
      </c>
      <c r="GM88" s="13">
        <f t="shared" si="77"/>
        <v>0</v>
      </c>
      <c r="GN88" s="13">
        <f t="shared" si="77"/>
        <v>0</v>
      </c>
      <c r="GO88" s="13">
        <f t="shared" si="77"/>
        <v>0</v>
      </c>
      <c r="GP88" s="13">
        <f t="shared" si="77"/>
        <v>0</v>
      </c>
      <c r="GQ88" s="13">
        <f t="shared" si="77"/>
        <v>0</v>
      </c>
      <c r="GR88" s="13">
        <f t="shared" si="77"/>
        <v>0</v>
      </c>
      <c r="GS88" s="13">
        <f t="shared" si="77"/>
        <v>0</v>
      </c>
      <c r="GT88" s="13">
        <f t="shared" si="77"/>
        <v>0</v>
      </c>
      <c r="GU88" s="13">
        <f t="shared" si="77"/>
        <v>0</v>
      </c>
      <c r="GV88" s="13">
        <f t="shared" si="77"/>
        <v>0</v>
      </c>
      <c r="GW88" s="13">
        <f t="shared" si="77"/>
        <v>0</v>
      </c>
      <c r="GX88" s="13">
        <f t="shared" si="77"/>
        <v>0</v>
      </c>
      <c r="GY88" s="13">
        <f t="shared" si="77"/>
        <v>0</v>
      </c>
      <c r="GZ88" s="13">
        <f t="shared" si="77"/>
        <v>0</v>
      </c>
      <c r="HA88" s="13">
        <f t="shared" si="77"/>
        <v>0</v>
      </c>
      <c r="HB88" s="13">
        <f t="shared" si="77"/>
        <v>0</v>
      </c>
      <c r="HC88" s="13">
        <f t="shared" si="77"/>
        <v>0</v>
      </c>
      <c r="HD88" s="13">
        <f t="shared" si="77"/>
        <v>0</v>
      </c>
      <c r="HE88" s="13">
        <f t="shared" si="77"/>
        <v>0</v>
      </c>
      <c r="HF88" s="13">
        <f t="shared" si="77"/>
        <v>0</v>
      </c>
      <c r="HG88" s="13">
        <f t="shared" si="77"/>
        <v>0</v>
      </c>
      <c r="HH88" s="13">
        <f t="shared" si="77"/>
        <v>0</v>
      </c>
      <c r="HI88" s="13">
        <f t="shared" si="77"/>
        <v>0</v>
      </c>
      <c r="HJ88" s="13">
        <f t="shared" si="77"/>
        <v>0</v>
      </c>
      <c r="HK88" s="13">
        <f t="shared" si="77"/>
        <v>0</v>
      </c>
      <c r="HL88" s="13">
        <f t="shared" si="77"/>
        <v>0</v>
      </c>
      <c r="HM88" s="13">
        <f t="shared" si="77"/>
        <v>0</v>
      </c>
      <c r="HN88" s="13">
        <f t="shared" si="77"/>
        <v>0</v>
      </c>
      <c r="HO88" s="13">
        <f t="shared" si="77"/>
        <v>0</v>
      </c>
      <c r="HP88" s="13">
        <f t="shared" si="77"/>
        <v>0</v>
      </c>
      <c r="HQ88" s="13">
        <f t="shared" si="77"/>
        <v>0</v>
      </c>
      <c r="HR88" s="13">
        <f t="shared" si="77"/>
        <v>0</v>
      </c>
      <c r="HS88" s="13">
        <f t="shared" si="77"/>
        <v>0</v>
      </c>
      <c r="HT88" s="13">
        <f t="shared" si="77"/>
        <v>0</v>
      </c>
      <c r="HU88" s="13">
        <f t="shared" si="77"/>
        <v>0</v>
      </c>
      <c r="HV88" s="13">
        <f t="shared" ref="HV88:IP88" si="78">SUM(HV6:HV87)</f>
        <v>0</v>
      </c>
      <c r="HW88" s="13">
        <f t="shared" si="78"/>
        <v>0</v>
      </c>
      <c r="HX88" s="13">
        <f t="shared" si="78"/>
        <v>0</v>
      </c>
      <c r="HY88" s="13">
        <f t="shared" si="78"/>
        <v>0</v>
      </c>
      <c r="HZ88" s="13">
        <f t="shared" si="78"/>
        <v>0</v>
      </c>
      <c r="IA88" s="13">
        <f t="shared" si="78"/>
        <v>0</v>
      </c>
      <c r="IB88" s="13">
        <f t="shared" si="78"/>
        <v>0</v>
      </c>
      <c r="IC88" s="13">
        <f t="shared" si="78"/>
        <v>0</v>
      </c>
      <c r="ID88" s="13">
        <f t="shared" si="78"/>
        <v>0</v>
      </c>
      <c r="IE88" s="13">
        <f t="shared" si="78"/>
        <v>0</v>
      </c>
      <c r="IF88" s="13">
        <f t="shared" si="78"/>
        <v>0</v>
      </c>
      <c r="IG88" s="13">
        <f t="shared" si="78"/>
        <v>0</v>
      </c>
      <c r="IH88" s="13">
        <f t="shared" si="78"/>
        <v>0</v>
      </c>
      <c r="II88" s="13">
        <f t="shared" si="78"/>
        <v>0</v>
      </c>
      <c r="IJ88" s="13">
        <f t="shared" si="78"/>
        <v>0</v>
      </c>
      <c r="IK88" s="13">
        <f t="shared" si="78"/>
        <v>0</v>
      </c>
      <c r="IL88" s="13">
        <f t="shared" si="78"/>
        <v>0</v>
      </c>
      <c r="IM88" s="13">
        <f t="shared" si="78"/>
        <v>0</v>
      </c>
      <c r="IN88" s="13">
        <f t="shared" si="78"/>
        <v>0</v>
      </c>
      <c r="IO88" s="13">
        <f t="shared" si="78"/>
        <v>0</v>
      </c>
      <c r="IP88" s="13">
        <f t="shared" si="78"/>
        <v>0</v>
      </c>
      <c r="IQ88" s="13">
        <f>SUM(IQ6:IV87)</f>
        <v>0</v>
      </c>
    </row>
    <row r="89" spans="1:251" ht="12.75" thickTop="1">
      <c r="B89" s="4"/>
      <c r="G89" s="4">
        <f>SUM(G47:G87)</f>
        <v>111351.16099547624</v>
      </c>
      <c r="H89" s="4">
        <f>SUM(H47:H87)</f>
        <v>111351.16099547624</v>
      </c>
      <c r="M89" s="4">
        <f>SUM(M47:M87)</f>
        <v>-167860.25114404771</v>
      </c>
      <c r="N89" s="4">
        <f>SUM(N47:N87)</f>
        <v>-72991.170148571269</v>
      </c>
      <c r="S89" s="4">
        <f>SUM(S47:S87)</f>
        <v>-217868.15217404749</v>
      </c>
      <c r="T89" s="4">
        <f>SUM(T47:T87)</f>
        <v>-290859.3223226195</v>
      </c>
      <c r="Y89" s="4">
        <f>SUM(Y47:Y87)</f>
        <v>117665.33159023825</v>
      </c>
      <c r="Z89" s="4">
        <f>SUM(Z47:Z87)</f>
        <v>-173193.99073238115</v>
      </c>
      <c r="AE89" s="4">
        <f>SUM(AE47:AE87)</f>
        <v>227913.41187309552</v>
      </c>
      <c r="AF89" s="4">
        <f>SUM(AF47:AF87)</f>
        <v>54719.42114071476</v>
      </c>
      <c r="AK89" s="4">
        <f>SUM(AK47:AK87)</f>
        <v>0</v>
      </c>
      <c r="AL89" s="4">
        <f>SUM(AL47:AL87)</f>
        <v>54719.42114071476</v>
      </c>
      <c r="AQ89" s="4">
        <f>SUM(AQ47:AQ87)</f>
        <v>0</v>
      </c>
      <c r="AR89" s="4">
        <f>SUM(AR47:AR87)</f>
        <v>54719.42114071476</v>
      </c>
      <c r="AW89" s="4">
        <f>SUM(AW47:AW87)</f>
        <v>0</v>
      </c>
      <c r="AX89" s="4">
        <f>SUM(AX47:AX87)</f>
        <v>54719.42114071476</v>
      </c>
      <c r="BC89" s="4">
        <f>SUM(BC47:BC87)</f>
        <v>0</v>
      </c>
      <c r="BD89" s="4">
        <f>SUM(BD47:BD87)</f>
        <v>54719.42114071476</v>
      </c>
      <c r="BI89" s="4">
        <f>SUM(BI47:BI87)</f>
        <v>0</v>
      </c>
      <c r="BJ89" s="4">
        <f>SUM(BJ47:BJ87)</f>
        <v>54719.42114071476</v>
      </c>
      <c r="BO89" s="4">
        <f>SUM(BO47:BO87)</f>
        <v>0</v>
      </c>
      <c r="BP89" s="4">
        <f>SUM(BP47:BP87)</f>
        <v>54719.42114071476</v>
      </c>
      <c r="BU89" s="4">
        <f>SUM(BU47:BU87)</f>
        <v>0</v>
      </c>
      <c r="BV89" s="4">
        <f>SUM(BV47:BV87)</f>
        <v>54719.42114071476</v>
      </c>
    </row>
    <row r="90" spans="1:251"/>
    <row r="91" spans="1:251" hidden="1">
      <c r="A91" s="4" t="s">
        <v>155</v>
      </c>
    </row>
    <row r="92" spans="1:251" hidden="1"/>
    <row r="93" spans="1:251" hidden="1"/>
    <row r="94" spans="1:251" hidden="1">
      <c r="A94" s="15" t="s">
        <v>157</v>
      </c>
      <c r="O94" s="15"/>
      <c r="P94" s="15"/>
      <c r="Q94" s="15"/>
      <c r="U94" s="15"/>
      <c r="V94" s="15"/>
      <c r="W94" s="15"/>
      <c r="AA94" s="15"/>
      <c r="AB94" s="15"/>
      <c r="AC94" s="15"/>
      <c r="AG94" s="15"/>
      <c r="AH94" s="15"/>
      <c r="AI94" s="15"/>
      <c r="AM94" s="15"/>
      <c r="AN94" s="15"/>
      <c r="AO94" s="15"/>
      <c r="AS94" s="15"/>
      <c r="AT94" s="15"/>
      <c r="AU94" s="15"/>
      <c r="AY94" s="15"/>
      <c r="AZ94" s="15"/>
      <c r="BA94" s="15"/>
      <c r="BE94" s="15"/>
      <c r="BF94" s="15"/>
      <c r="BG94" s="15"/>
      <c r="BK94" s="15"/>
      <c r="BL94" s="15"/>
      <c r="BM94" s="15"/>
      <c r="BQ94" s="15"/>
      <c r="BR94" s="15"/>
      <c r="BS94" s="15"/>
    </row>
    <row r="95" spans="1:251" hidden="1">
      <c r="A95" s="4" t="s">
        <v>159</v>
      </c>
    </row>
    <row r="96" spans="1:251" hidden="1"/>
    <row r="97" spans="1:71" hidden="1"/>
    <row r="98" spans="1:71" hidden="1">
      <c r="A98" s="4" t="s">
        <v>161</v>
      </c>
    </row>
    <row r="99" spans="1:71" hidden="1"/>
    <row r="100" spans="1:71" hidden="1">
      <c r="O100" s="15"/>
      <c r="P100" s="15"/>
      <c r="Q100" s="15"/>
      <c r="U100" s="15"/>
      <c r="V100" s="15"/>
      <c r="W100" s="15"/>
      <c r="AA100" s="15"/>
      <c r="AB100" s="15"/>
      <c r="AC100" s="15"/>
      <c r="AG100" s="15"/>
      <c r="AH100" s="15"/>
      <c r="AI100" s="15"/>
      <c r="AM100" s="15"/>
      <c r="AN100" s="15"/>
      <c r="AO100" s="15"/>
      <c r="AS100" s="15"/>
      <c r="AT100" s="15"/>
      <c r="AU100" s="15"/>
      <c r="AY100" s="15"/>
      <c r="AZ100" s="15"/>
      <c r="BA100" s="15"/>
      <c r="BE100" s="15"/>
      <c r="BF100" s="15"/>
      <c r="BG100" s="15"/>
      <c r="BK100" s="15"/>
      <c r="BL100" s="15"/>
      <c r="BM100" s="15"/>
      <c r="BQ100" s="15"/>
      <c r="BR100" s="15"/>
      <c r="BS100" s="15"/>
    </row>
    <row r="101" spans="1:71" hidden="1">
      <c r="A101" s="15" t="s">
        <v>162</v>
      </c>
    </row>
    <row r="102" spans="1:71" hidden="1">
      <c r="A102" s="4" t="s">
        <v>163</v>
      </c>
    </row>
    <row r="103" spans="1:71" hidden="1"/>
    <row r="104" spans="1:71" hidden="1"/>
    <row r="105" spans="1:71" hidden="1">
      <c r="A105" s="4" t="s">
        <v>156</v>
      </c>
    </row>
    <row r="106" spans="1:71" hidden="1"/>
    <row r="107" spans="1:71" hidden="1"/>
    <row r="108" spans="1:71" hidden="1">
      <c r="A108" s="15" t="s">
        <v>158</v>
      </c>
    </row>
    <row r="109" spans="1:71" hidden="1">
      <c r="A109" s="4" t="s">
        <v>160</v>
      </c>
    </row>
    <row r="110" spans="1:71"/>
    <row r="111" spans="1:71"/>
    <row r="112" spans="1:71"/>
    <row r="113"/>
    <row r="114"/>
    <row r="115"/>
    <row r="116"/>
    <row r="117"/>
  </sheetData>
  <phoneticPr fontId="36" type="noConversion"/>
  <pageMargins left="0.35" right="0.25" top="0.24" bottom="0.25" header="0.12" footer="0"/>
  <pageSetup paperSize="9" scale="85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G108"/>
  <sheetViews>
    <sheetView zoomScaleNormal="100" workbookViewId="0">
      <pane xSplit="1" ySplit="4" topLeftCell="B47" activePane="bottomRight" state="frozen"/>
      <selection activeCell="AB26" sqref="AB26"/>
      <selection pane="topRight" activeCell="AB26" sqref="AB26"/>
      <selection pane="bottomLeft" activeCell="AB26" sqref="AB26"/>
      <selection pane="bottomRight" activeCell="B102" sqref="B102"/>
    </sheetView>
  </sheetViews>
  <sheetFormatPr defaultColWidth="0" defaultRowHeight="12.75" zeroHeight="1"/>
  <cols>
    <col min="1" max="1" width="41" style="16" customWidth="1"/>
    <col min="2" max="2" width="25.7109375" style="16" customWidth="1"/>
    <col min="3" max="3" width="25.5703125" style="17" customWidth="1"/>
    <col min="4" max="16384" width="9.140625" style="16" hidden="1"/>
  </cols>
  <sheetData>
    <row r="1" spans="1:3">
      <c r="A1" s="425" t="s">
        <v>86</v>
      </c>
    </row>
    <row r="2" spans="1:3">
      <c r="A2" s="425" t="s">
        <v>87</v>
      </c>
    </row>
    <row r="3" spans="1:3">
      <c r="A3" s="425" t="s">
        <v>387</v>
      </c>
    </row>
    <row r="4" spans="1:3" s="18" customFormat="1">
      <c r="B4" s="426" t="s">
        <v>314</v>
      </c>
      <c r="C4" s="427" t="s">
        <v>315</v>
      </c>
    </row>
    <row r="5" spans="1:3">
      <c r="A5" s="16" t="s">
        <v>96</v>
      </c>
      <c r="B5" s="440"/>
    </row>
    <row r="6" spans="1:3">
      <c r="A6" s="16" t="s">
        <v>171</v>
      </c>
      <c r="B6" s="440"/>
    </row>
    <row r="7" spans="1:3">
      <c r="A7" s="16" t="s">
        <v>172</v>
      </c>
      <c r="B7" s="440"/>
    </row>
    <row r="8" spans="1:3">
      <c r="A8" s="4" t="s">
        <v>390</v>
      </c>
      <c r="B8" s="440"/>
    </row>
    <row r="9" spans="1:3">
      <c r="A9" s="16" t="s">
        <v>8</v>
      </c>
      <c r="B9" s="440"/>
    </row>
    <row r="10" spans="1:3">
      <c r="A10" s="16" t="s">
        <v>97</v>
      </c>
      <c r="B10" s="440"/>
    </row>
    <row r="11" spans="1:3">
      <c r="A11" s="16" t="s">
        <v>98</v>
      </c>
      <c r="B11" s="440"/>
    </row>
    <row r="12" spans="1:3">
      <c r="A12" s="16" t="s">
        <v>99</v>
      </c>
      <c r="B12" s="440"/>
    </row>
    <row r="13" spans="1:3">
      <c r="A13" s="16" t="s">
        <v>311</v>
      </c>
      <c r="B13" s="440"/>
    </row>
    <row r="14" spans="1:3">
      <c r="A14" s="16" t="s">
        <v>100</v>
      </c>
      <c r="B14" s="440"/>
    </row>
    <row r="15" spans="1:3" ht="13.5" customHeight="1">
      <c r="A15" s="16" t="s">
        <v>101</v>
      </c>
      <c r="B15" s="440"/>
    </row>
    <row r="16" spans="1:3" ht="13.5" customHeight="1">
      <c r="A16" s="16" t="s">
        <v>102</v>
      </c>
      <c r="B16" s="440"/>
    </row>
    <row r="17" spans="1:3">
      <c r="A17" s="16" t="s">
        <v>103</v>
      </c>
      <c r="B17" s="440"/>
    </row>
    <row r="18" spans="1:3">
      <c r="A18" s="16" t="s">
        <v>104</v>
      </c>
      <c r="B18" s="440"/>
    </row>
    <row r="19" spans="1:3">
      <c r="A19" s="16" t="s">
        <v>106</v>
      </c>
      <c r="C19" s="16"/>
    </row>
    <row r="20" spans="1:3">
      <c r="A20" s="16" t="s">
        <v>105</v>
      </c>
      <c r="B20" s="17"/>
    </row>
    <row r="21" spans="1:3">
      <c r="A21" s="16" t="s">
        <v>375</v>
      </c>
      <c r="C21" s="16"/>
    </row>
    <row r="22" spans="1:3">
      <c r="A22" s="16" t="s">
        <v>107</v>
      </c>
      <c r="B22" s="17"/>
    </row>
    <row r="23" spans="1:3">
      <c r="A23" s="16" t="s">
        <v>108</v>
      </c>
      <c r="B23" s="17"/>
      <c r="C23" s="440"/>
    </row>
    <row r="24" spans="1:3">
      <c r="A24" s="16" t="s">
        <v>109</v>
      </c>
      <c r="B24" s="440"/>
      <c r="C24" s="428"/>
    </row>
    <row r="25" spans="1:3">
      <c r="A25" s="16" t="s">
        <v>110</v>
      </c>
      <c r="B25" s="17"/>
    </row>
    <row r="26" spans="1:3">
      <c r="A26" s="16" t="s">
        <v>111</v>
      </c>
      <c r="B26" s="17"/>
    </row>
    <row r="27" spans="1:3">
      <c r="A27" s="16" t="s">
        <v>112</v>
      </c>
      <c r="B27" s="17"/>
    </row>
    <row r="28" spans="1:3">
      <c r="A28" s="16" t="s">
        <v>113</v>
      </c>
      <c r="B28" s="440"/>
      <c r="C28" s="428"/>
    </row>
    <row r="29" spans="1:3">
      <c r="A29" s="16" t="s">
        <v>114</v>
      </c>
      <c r="B29" s="440"/>
      <c r="C29" s="428"/>
    </row>
    <row r="30" spans="1:3">
      <c r="A30" s="16" t="s">
        <v>115</v>
      </c>
      <c r="B30" s="440"/>
      <c r="C30" s="428"/>
    </row>
    <row r="31" spans="1:3">
      <c r="A31" s="16" t="s">
        <v>116</v>
      </c>
      <c r="B31" s="17"/>
    </row>
    <row r="32" spans="1:3">
      <c r="A32" s="16" t="s">
        <v>117</v>
      </c>
      <c r="C32" s="440"/>
    </row>
    <row r="33" spans="1:3">
      <c r="A33" s="16" t="s">
        <v>360</v>
      </c>
      <c r="B33" s="440"/>
      <c r="C33" s="440"/>
    </row>
    <row r="34" spans="1:3">
      <c r="A34" s="16" t="s">
        <v>118</v>
      </c>
      <c r="B34" s="17"/>
    </row>
    <row r="35" spans="1:3">
      <c r="A35" s="16" t="s">
        <v>119</v>
      </c>
      <c r="C35" s="16"/>
    </row>
    <row r="36" spans="1:3" s="19" customFormat="1">
      <c r="A36" s="19" t="s">
        <v>120</v>
      </c>
      <c r="B36" s="428"/>
    </row>
    <row r="37" spans="1:3" s="19" customFormat="1">
      <c r="A37" s="19" t="s">
        <v>121</v>
      </c>
    </row>
    <row r="38" spans="1:3">
      <c r="A38" s="16" t="s">
        <v>122</v>
      </c>
      <c r="B38" s="440"/>
      <c r="C38" s="428"/>
    </row>
    <row r="39" spans="1:3">
      <c r="A39" s="16" t="s">
        <v>123</v>
      </c>
      <c r="C39" s="16"/>
    </row>
    <row r="40" spans="1:3" s="20" customFormat="1">
      <c r="A40" s="20" t="s">
        <v>24</v>
      </c>
    </row>
    <row r="41" spans="1:3">
      <c r="A41" s="16" t="s">
        <v>124</v>
      </c>
      <c r="C41" s="16"/>
    </row>
    <row r="42" spans="1:3">
      <c r="A42" s="16" t="s">
        <v>369</v>
      </c>
      <c r="B42" s="17"/>
    </row>
    <row r="43" spans="1:3">
      <c r="A43" s="16" t="s">
        <v>253</v>
      </c>
      <c r="B43" s="17"/>
    </row>
    <row r="44" spans="1:3" hidden="1">
      <c r="A44" s="16" t="s">
        <v>125</v>
      </c>
      <c r="B44" s="440"/>
      <c r="C44" s="428"/>
    </row>
    <row r="45" spans="1:3" hidden="1">
      <c r="A45" s="16" t="s">
        <v>126</v>
      </c>
      <c r="B45" s="440"/>
    </row>
    <row r="46" spans="1:3">
      <c r="A46" s="16" t="s">
        <v>127</v>
      </c>
      <c r="B46" s="440"/>
      <c r="C46" s="440"/>
    </row>
    <row r="47" spans="1:3">
      <c r="A47" s="16" t="s">
        <v>128</v>
      </c>
      <c r="C47" s="440"/>
    </row>
    <row r="48" spans="1:3">
      <c r="A48" s="16" t="s">
        <v>129</v>
      </c>
    </row>
    <row r="49" spans="1:2">
      <c r="A49" s="16" t="s">
        <v>130</v>
      </c>
      <c r="B49" s="17"/>
    </row>
    <row r="50" spans="1:2">
      <c r="A50" s="16" t="s">
        <v>131</v>
      </c>
      <c r="B50" s="17"/>
    </row>
    <row r="51" spans="1:2">
      <c r="A51" s="16" t="s">
        <v>132</v>
      </c>
      <c r="B51" s="440"/>
    </row>
    <row r="52" spans="1:2">
      <c r="A52" s="16" t="s">
        <v>133</v>
      </c>
      <c r="B52" s="440"/>
    </row>
    <row r="53" spans="1:2">
      <c r="A53" s="16" t="s">
        <v>310</v>
      </c>
      <c r="B53" s="440"/>
    </row>
    <row r="54" spans="1:2" hidden="1">
      <c r="A54" s="16" t="s">
        <v>255</v>
      </c>
      <c r="B54" s="440"/>
    </row>
    <row r="55" spans="1:2">
      <c r="A55" s="16" t="s">
        <v>134</v>
      </c>
      <c r="B55" s="17"/>
    </row>
    <row r="56" spans="1:2">
      <c r="A56" s="16" t="s">
        <v>135</v>
      </c>
      <c r="B56" s="17"/>
    </row>
    <row r="57" spans="1:2">
      <c r="A57" s="16" t="s">
        <v>136</v>
      </c>
      <c r="B57" s="17"/>
    </row>
    <row r="58" spans="1:2">
      <c r="A58" s="16" t="s">
        <v>138</v>
      </c>
      <c r="B58" s="17"/>
    </row>
    <row r="59" spans="1:2">
      <c r="A59" s="16" t="s">
        <v>137</v>
      </c>
      <c r="B59" s="17"/>
    </row>
    <row r="60" spans="1:2">
      <c r="A60" s="16" t="s">
        <v>139</v>
      </c>
      <c r="B60" s="17"/>
    </row>
    <row r="61" spans="1:2">
      <c r="A61" s="16" t="s">
        <v>140</v>
      </c>
      <c r="B61" s="17"/>
    </row>
    <row r="62" spans="1:2">
      <c r="A62" s="16" t="s">
        <v>141</v>
      </c>
      <c r="B62" s="17"/>
    </row>
    <row r="63" spans="1:2">
      <c r="A63" s="16" t="s">
        <v>142</v>
      </c>
      <c r="B63" s="17"/>
    </row>
    <row r="64" spans="1:2" hidden="1">
      <c r="A64" s="16" t="s">
        <v>143</v>
      </c>
      <c r="B64" s="440"/>
    </row>
    <row r="65" spans="1:215">
      <c r="A65" s="16" t="s">
        <v>396</v>
      </c>
      <c r="B65" s="440"/>
    </row>
    <row r="66" spans="1:215">
      <c r="A66" s="16" t="s">
        <v>144</v>
      </c>
      <c r="B66" s="440"/>
    </row>
    <row r="67" spans="1:215" hidden="1">
      <c r="A67" s="16" t="s">
        <v>145</v>
      </c>
      <c r="B67" s="440"/>
    </row>
    <row r="68" spans="1:215">
      <c r="A68" s="16" t="s">
        <v>146</v>
      </c>
      <c r="B68" s="440"/>
    </row>
    <row r="69" spans="1:215">
      <c r="A69" s="16" t="s">
        <v>147</v>
      </c>
      <c r="B69" s="440"/>
    </row>
    <row r="70" spans="1:215">
      <c r="A70" s="16" t="s">
        <v>148</v>
      </c>
      <c r="B70" s="440"/>
    </row>
    <row r="71" spans="1:215">
      <c r="A71" s="16" t="s">
        <v>149</v>
      </c>
      <c r="B71" s="440"/>
    </row>
    <row r="72" spans="1:215">
      <c r="A72" s="16" t="s">
        <v>150</v>
      </c>
      <c r="B72" s="440"/>
    </row>
    <row r="73" spans="1:215">
      <c r="A73" s="4" t="s">
        <v>362</v>
      </c>
    </row>
    <row r="74" spans="1:215">
      <c r="A74" s="16" t="s">
        <v>151</v>
      </c>
    </row>
    <row r="75" spans="1:215">
      <c r="A75" s="16" t="s">
        <v>152</v>
      </c>
      <c r="B75" s="440"/>
    </row>
    <row r="76" spans="1:215">
      <c r="A76" s="16" t="s">
        <v>153</v>
      </c>
    </row>
    <row r="77" spans="1:215" hidden="1">
      <c r="A77" s="16" t="s">
        <v>313</v>
      </c>
      <c r="C77" s="429"/>
    </row>
    <row r="78" spans="1:215" s="22" customFormat="1" ht="13.5" thickBot="1">
      <c r="A78" s="430" t="s">
        <v>154</v>
      </c>
      <c r="B78" s="21">
        <f>SUM(B5:B76)</f>
        <v>0</v>
      </c>
      <c r="C78" s="21">
        <f>SUM(C5:C77)</f>
        <v>0</v>
      </c>
      <c r="D78" s="21">
        <f t="shared" ref="D78:BM78" si="0">SUM(D5:D77)</f>
        <v>0</v>
      </c>
      <c r="E78" s="21">
        <f t="shared" si="0"/>
        <v>0</v>
      </c>
      <c r="F78" s="21">
        <f t="shared" si="0"/>
        <v>0</v>
      </c>
      <c r="G78" s="21">
        <f t="shared" si="0"/>
        <v>0</v>
      </c>
      <c r="H78" s="21">
        <f t="shared" si="0"/>
        <v>0</v>
      </c>
      <c r="I78" s="21">
        <f t="shared" si="0"/>
        <v>0</v>
      </c>
      <c r="J78" s="21">
        <f t="shared" si="0"/>
        <v>0</v>
      </c>
      <c r="K78" s="21">
        <f t="shared" si="0"/>
        <v>0</v>
      </c>
      <c r="L78" s="21">
        <f t="shared" si="0"/>
        <v>0</v>
      </c>
      <c r="M78" s="21">
        <f t="shared" si="0"/>
        <v>0</v>
      </c>
      <c r="N78" s="21">
        <f t="shared" si="0"/>
        <v>0</v>
      </c>
      <c r="O78" s="21">
        <f t="shared" si="0"/>
        <v>0</v>
      </c>
      <c r="P78" s="21">
        <f t="shared" si="0"/>
        <v>0</v>
      </c>
      <c r="Q78" s="21">
        <f t="shared" si="0"/>
        <v>0</v>
      </c>
      <c r="R78" s="21">
        <f t="shared" si="0"/>
        <v>0</v>
      </c>
      <c r="S78" s="21">
        <f t="shared" si="0"/>
        <v>0</v>
      </c>
      <c r="T78" s="21">
        <f t="shared" si="0"/>
        <v>0</v>
      </c>
      <c r="U78" s="21">
        <f t="shared" si="0"/>
        <v>0</v>
      </c>
      <c r="V78" s="21">
        <f t="shared" si="0"/>
        <v>0</v>
      </c>
      <c r="W78" s="21">
        <f t="shared" si="0"/>
        <v>0</v>
      </c>
      <c r="X78" s="21">
        <f t="shared" si="0"/>
        <v>0</v>
      </c>
      <c r="Y78" s="21">
        <f t="shared" si="0"/>
        <v>0</v>
      </c>
      <c r="Z78" s="21">
        <f t="shared" si="0"/>
        <v>0</v>
      </c>
      <c r="AA78" s="21">
        <f t="shared" si="0"/>
        <v>0</v>
      </c>
      <c r="AB78" s="21">
        <f t="shared" si="0"/>
        <v>0</v>
      </c>
      <c r="AC78" s="21">
        <f t="shared" si="0"/>
        <v>0</v>
      </c>
      <c r="AD78" s="21">
        <f t="shared" si="0"/>
        <v>0</v>
      </c>
      <c r="AE78" s="21">
        <f t="shared" si="0"/>
        <v>0</v>
      </c>
      <c r="AF78" s="21">
        <f t="shared" si="0"/>
        <v>0</v>
      </c>
      <c r="AG78" s="21">
        <f t="shared" si="0"/>
        <v>0</v>
      </c>
      <c r="AH78" s="21">
        <f t="shared" si="0"/>
        <v>0</v>
      </c>
      <c r="AI78" s="21">
        <f t="shared" si="0"/>
        <v>0</v>
      </c>
      <c r="AJ78" s="21">
        <f t="shared" si="0"/>
        <v>0</v>
      </c>
      <c r="AK78" s="21">
        <f t="shared" si="0"/>
        <v>0</v>
      </c>
      <c r="AL78" s="21">
        <f t="shared" si="0"/>
        <v>0</v>
      </c>
      <c r="AM78" s="21">
        <f t="shared" si="0"/>
        <v>0</v>
      </c>
      <c r="AN78" s="21">
        <f t="shared" si="0"/>
        <v>0</v>
      </c>
      <c r="AO78" s="21">
        <f t="shared" si="0"/>
        <v>0</v>
      </c>
      <c r="AP78" s="21">
        <f t="shared" si="0"/>
        <v>0</v>
      </c>
      <c r="AQ78" s="21">
        <f t="shared" si="0"/>
        <v>0</v>
      </c>
      <c r="AR78" s="21">
        <f t="shared" si="0"/>
        <v>0</v>
      </c>
      <c r="AS78" s="21">
        <f t="shared" si="0"/>
        <v>0</v>
      </c>
      <c r="AT78" s="21">
        <f t="shared" si="0"/>
        <v>0</v>
      </c>
      <c r="AU78" s="21">
        <f t="shared" si="0"/>
        <v>0</v>
      </c>
      <c r="AV78" s="21">
        <f t="shared" si="0"/>
        <v>0</v>
      </c>
      <c r="AW78" s="21">
        <f t="shared" si="0"/>
        <v>0</v>
      </c>
      <c r="AX78" s="21">
        <f t="shared" si="0"/>
        <v>0</v>
      </c>
      <c r="AY78" s="21">
        <f t="shared" si="0"/>
        <v>0</v>
      </c>
      <c r="AZ78" s="21">
        <f t="shared" si="0"/>
        <v>0</v>
      </c>
      <c r="BA78" s="21">
        <f t="shared" si="0"/>
        <v>0</v>
      </c>
      <c r="BB78" s="21">
        <f t="shared" si="0"/>
        <v>0</v>
      </c>
      <c r="BC78" s="21">
        <f t="shared" si="0"/>
        <v>0</v>
      </c>
      <c r="BD78" s="21">
        <f t="shared" si="0"/>
        <v>0</v>
      </c>
      <c r="BE78" s="21">
        <f t="shared" si="0"/>
        <v>0</v>
      </c>
      <c r="BF78" s="21">
        <f t="shared" si="0"/>
        <v>0</v>
      </c>
      <c r="BG78" s="21">
        <f t="shared" si="0"/>
        <v>0</v>
      </c>
      <c r="BH78" s="21">
        <f t="shared" si="0"/>
        <v>0</v>
      </c>
      <c r="BI78" s="21">
        <f t="shared" si="0"/>
        <v>0</v>
      </c>
      <c r="BJ78" s="21">
        <f t="shared" si="0"/>
        <v>0</v>
      </c>
      <c r="BK78" s="21">
        <f t="shared" si="0"/>
        <v>0</v>
      </c>
      <c r="BL78" s="21">
        <f t="shared" si="0"/>
        <v>0</v>
      </c>
      <c r="BM78" s="21">
        <f t="shared" si="0"/>
        <v>0</v>
      </c>
      <c r="BN78" s="21">
        <f t="shared" ref="BN78:DY78" si="1">SUM(BN5:BN77)</f>
        <v>0</v>
      </c>
      <c r="BO78" s="21">
        <f t="shared" si="1"/>
        <v>0</v>
      </c>
      <c r="BP78" s="21">
        <f t="shared" si="1"/>
        <v>0</v>
      </c>
      <c r="BQ78" s="21">
        <f t="shared" si="1"/>
        <v>0</v>
      </c>
      <c r="BR78" s="21">
        <f t="shared" si="1"/>
        <v>0</v>
      </c>
      <c r="BS78" s="21">
        <f t="shared" si="1"/>
        <v>0</v>
      </c>
      <c r="BT78" s="21">
        <f t="shared" si="1"/>
        <v>0</v>
      </c>
      <c r="BU78" s="21">
        <f t="shared" si="1"/>
        <v>0</v>
      </c>
      <c r="BV78" s="21">
        <f t="shared" si="1"/>
        <v>0</v>
      </c>
      <c r="BW78" s="21">
        <f t="shared" si="1"/>
        <v>0</v>
      </c>
      <c r="BX78" s="21">
        <f t="shared" si="1"/>
        <v>0</v>
      </c>
      <c r="BY78" s="21">
        <f t="shared" si="1"/>
        <v>0</v>
      </c>
      <c r="BZ78" s="21">
        <f t="shared" si="1"/>
        <v>0</v>
      </c>
      <c r="CA78" s="21">
        <f t="shared" si="1"/>
        <v>0</v>
      </c>
      <c r="CB78" s="21">
        <f t="shared" si="1"/>
        <v>0</v>
      </c>
      <c r="CC78" s="21">
        <f t="shared" si="1"/>
        <v>0</v>
      </c>
      <c r="CD78" s="21">
        <f t="shared" si="1"/>
        <v>0</v>
      </c>
      <c r="CE78" s="21">
        <f t="shared" si="1"/>
        <v>0</v>
      </c>
      <c r="CF78" s="21">
        <f t="shared" si="1"/>
        <v>0</v>
      </c>
      <c r="CG78" s="21">
        <f t="shared" si="1"/>
        <v>0</v>
      </c>
      <c r="CH78" s="21">
        <f t="shared" si="1"/>
        <v>0</v>
      </c>
      <c r="CI78" s="21">
        <f t="shared" si="1"/>
        <v>0</v>
      </c>
      <c r="CJ78" s="21">
        <f t="shared" si="1"/>
        <v>0</v>
      </c>
      <c r="CK78" s="21">
        <f t="shared" si="1"/>
        <v>0</v>
      </c>
      <c r="CL78" s="21">
        <f t="shared" si="1"/>
        <v>0</v>
      </c>
      <c r="CM78" s="21">
        <f t="shared" si="1"/>
        <v>0</v>
      </c>
      <c r="CN78" s="21">
        <f t="shared" si="1"/>
        <v>0</v>
      </c>
      <c r="CO78" s="21">
        <f t="shared" si="1"/>
        <v>0</v>
      </c>
      <c r="CP78" s="21">
        <f t="shared" si="1"/>
        <v>0</v>
      </c>
      <c r="CQ78" s="21">
        <f t="shared" si="1"/>
        <v>0</v>
      </c>
      <c r="CR78" s="21">
        <f t="shared" si="1"/>
        <v>0</v>
      </c>
      <c r="CS78" s="21">
        <f t="shared" si="1"/>
        <v>0</v>
      </c>
      <c r="CT78" s="21">
        <f t="shared" si="1"/>
        <v>0</v>
      </c>
      <c r="CU78" s="21">
        <f t="shared" si="1"/>
        <v>0</v>
      </c>
      <c r="CV78" s="21">
        <f t="shared" si="1"/>
        <v>0</v>
      </c>
      <c r="CW78" s="21">
        <f t="shared" si="1"/>
        <v>0</v>
      </c>
      <c r="CX78" s="21">
        <f t="shared" si="1"/>
        <v>0</v>
      </c>
      <c r="CY78" s="21">
        <f t="shared" si="1"/>
        <v>0</v>
      </c>
      <c r="CZ78" s="21">
        <f t="shared" si="1"/>
        <v>0</v>
      </c>
      <c r="DA78" s="21">
        <f t="shared" si="1"/>
        <v>0</v>
      </c>
      <c r="DB78" s="21">
        <f t="shared" si="1"/>
        <v>0</v>
      </c>
      <c r="DC78" s="21">
        <f t="shared" si="1"/>
        <v>0</v>
      </c>
      <c r="DD78" s="21">
        <f t="shared" si="1"/>
        <v>0</v>
      </c>
      <c r="DE78" s="21">
        <f t="shared" si="1"/>
        <v>0</v>
      </c>
      <c r="DF78" s="21">
        <f t="shared" si="1"/>
        <v>0</v>
      </c>
      <c r="DG78" s="21">
        <f t="shared" si="1"/>
        <v>0</v>
      </c>
      <c r="DH78" s="21">
        <f t="shared" si="1"/>
        <v>0</v>
      </c>
      <c r="DI78" s="21">
        <f t="shared" si="1"/>
        <v>0</v>
      </c>
      <c r="DJ78" s="21">
        <f t="shared" si="1"/>
        <v>0</v>
      </c>
      <c r="DK78" s="21">
        <f t="shared" si="1"/>
        <v>0</v>
      </c>
      <c r="DL78" s="21">
        <f t="shared" si="1"/>
        <v>0</v>
      </c>
      <c r="DM78" s="21">
        <f t="shared" si="1"/>
        <v>0</v>
      </c>
      <c r="DN78" s="21">
        <f t="shared" si="1"/>
        <v>0</v>
      </c>
      <c r="DO78" s="21">
        <f t="shared" si="1"/>
        <v>0</v>
      </c>
      <c r="DP78" s="21">
        <f t="shared" si="1"/>
        <v>0</v>
      </c>
      <c r="DQ78" s="21">
        <f t="shared" si="1"/>
        <v>0</v>
      </c>
      <c r="DR78" s="21">
        <f t="shared" si="1"/>
        <v>0</v>
      </c>
      <c r="DS78" s="21">
        <f t="shared" si="1"/>
        <v>0</v>
      </c>
      <c r="DT78" s="21">
        <f t="shared" si="1"/>
        <v>0</v>
      </c>
      <c r="DU78" s="21">
        <f t="shared" si="1"/>
        <v>0</v>
      </c>
      <c r="DV78" s="21">
        <f t="shared" si="1"/>
        <v>0</v>
      </c>
      <c r="DW78" s="21">
        <f t="shared" si="1"/>
        <v>0</v>
      </c>
      <c r="DX78" s="21">
        <f t="shared" si="1"/>
        <v>0</v>
      </c>
      <c r="DY78" s="21">
        <f t="shared" si="1"/>
        <v>0</v>
      </c>
      <c r="DZ78" s="21">
        <f t="shared" ref="DZ78:GK78" si="2">SUM(DZ5:DZ77)</f>
        <v>0</v>
      </c>
      <c r="EA78" s="21">
        <f t="shared" si="2"/>
        <v>0</v>
      </c>
      <c r="EB78" s="21">
        <f t="shared" si="2"/>
        <v>0</v>
      </c>
      <c r="EC78" s="21">
        <f t="shared" si="2"/>
        <v>0</v>
      </c>
      <c r="ED78" s="21">
        <f t="shared" si="2"/>
        <v>0</v>
      </c>
      <c r="EE78" s="21">
        <f t="shared" si="2"/>
        <v>0</v>
      </c>
      <c r="EF78" s="21">
        <f t="shared" si="2"/>
        <v>0</v>
      </c>
      <c r="EG78" s="21">
        <f t="shared" si="2"/>
        <v>0</v>
      </c>
      <c r="EH78" s="21">
        <f t="shared" si="2"/>
        <v>0</v>
      </c>
      <c r="EI78" s="21">
        <f t="shared" si="2"/>
        <v>0</v>
      </c>
      <c r="EJ78" s="21">
        <f t="shared" si="2"/>
        <v>0</v>
      </c>
      <c r="EK78" s="21">
        <f t="shared" si="2"/>
        <v>0</v>
      </c>
      <c r="EL78" s="21">
        <f t="shared" si="2"/>
        <v>0</v>
      </c>
      <c r="EM78" s="21">
        <f t="shared" si="2"/>
        <v>0</v>
      </c>
      <c r="EN78" s="21">
        <f t="shared" si="2"/>
        <v>0</v>
      </c>
      <c r="EO78" s="21">
        <f t="shared" si="2"/>
        <v>0</v>
      </c>
      <c r="EP78" s="21">
        <f t="shared" si="2"/>
        <v>0</v>
      </c>
      <c r="EQ78" s="21">
        <f t="shared" si="2"/>
        <v>0</v>
      </c>
      <c r="ER78" s="21">
        <f t="shared" si="2"/>
        <v>0</v>
      </c>
      <c r="ES78" s="21">
        <f t="shared" si="2"/>
        <v>0</v>
      </c>
      <c r="ET78" s="21">
        <f t="shared" si="2"/>
        <v>0</v>
      </c>
      <c r="EU78" s="21">
        <f t="shared" si="2"/>
        <v>0</v>
      </c>
      <c r="EV78" s="21">
        <f t="shared" si="2"/>
        <v>0</v>
      </c>
      <c r="EW78" s="21">
        <f t="shared" si="2"/>
        <v>0</v>
      </c>
      <c r="EX78" s="21">
        <f t="shared" si="2"/>
        <v>0</v>
      </c>
      <c r="EY78" s="21">
        <f t="shared" si="2"/>
        <v>0</v>
      </c>
      <c r="EZ78" s="21">
        <f t="shared" si="2"/>
        <v>0</v>
      </c>
      <c r="FA78" s="21">
        <f t="shared" si="2"/>
        <v>0</v>
      </c>
      <c r="FB78" s="21">
        <f t="shared" si="2"/>
        <v>0</v>
      </c>
      <c r="FC78" s="21">
        <f t="shared" si="2"/>
        <v>0</v>
      </c>
      <c r="FD78" s="21">
        <f t="shared" si="2"/>
        <v>0</v>
      </c>
      <c r="FE78" s="21">
        <f t="shared" si="2"/>
        <v>0</v>
      </c>
      <c r="FF78" s="21">
        <f t="shared" si="2"/>
        <v>0</v>
      </c>
      <c r="FG78" s="21">
        <f t="shared" si="2"/>
        <v>0</v>
      </c>
      <c r="FH78" s="21">
        <f t="shared" si="2"/>
        <v>0</v>
      </c>
      <c r="FI78" s="21">
        <f t="shared" si="2"/>
        <v>0</v>
      </c>
      <c r="FJ78" s="21">
        <f t="shared" si="2"/>
        <v>0</v>
      </c>
      <c r="FK78" s="21">
        <f t="shared" si="2"/>
        <v>0</v>
      </c>
      <c r="FL78" s="21">
        <f t="shared" si="2"/>
        <v>0</v>
      </c>
      <c r="FM78" s="21">
        <f t="shared" si="2"/>
        <v>0</v>
      </c>
      <c r="FN78" s="21">
        <f t="shared" si="2"/>
        <v>0</v>
      </c>
      <c r="FO78" s="21">
        <f t="shared" si="2"/>
        <v>0</v>
      </c>
      <c r="FP78" s="21">
        <f t="shared" si="2"/>
        <v>0</v>
      </c>
      <c r="FQ78" s="21">
        <f t="shared" si="2"/>
        <v>0</v>
      </c>
      <c r="FR78" s="21">
        <f t="shared" si="2"/>
        <v>0</v>
      </c>
      <c r="FS78" s="21">
        <f t="shared" si="2"/>
        <v>0</v>
      </c>
      <c r="FT78" s="21">
        <f t="shared" si="2"/>
        <v>0</v>
      </c>
      <c r="FU78" s="21">
        <f t="shared" si="2"/>
        <v>0</v>
      </c>
      <c r="FV78" s="21">
        <f t="shared" si="2"/>
        <v>0</v>
      </c>
      <c r="FW78" s="21">
        <f t="shared" si="2"/>
        <v>0</v>
      </c>
      <c r="FX78" s="21">
        <f t="shared" si="2"/>
        <v>0</v>
      </c>
      <c r="FY78" s="21">
        <f t="shared" si="2"/>
        <v>0</v>
      </c>
      <c r="FZ78" s="21">
        <f t="shared" si="2"/>
        <v>0</v>
      </c>
      <c r="GA78" s="21">
        <f t="shared" si="2"/>
        <v>0</v>
      </c>
      <c r="GB78" s="21">
        <f t="shared" si="2"/>
        <v>0</v>
      </c>
      <c r="GC78" s="21">
        <f t="shared" si="2"/>
        <v>0</v>
      </c>
      <c r="GD78" s="21">
        <f t="shared" si="2"/>
        <v>0</v>
      </c>
      <c r="GE78" s="21">
        <f t="shared" si="2"/>
        <v>0</v>
      </c>
      <c r="GF78" s="21">
        <f t="shared" si="2"/>
        <v>0</v>
      </c>
      <c r="GG78" s="21">
        <f t="shared" si="2"/>
        <v>0</v>
      </c>
      <c r="GH78" s="21">
        <f t="shared" si="2"/>
        <v>0</v>
      </c>
      <c r="GI78" s="21">
        <f t="shared" si="2"/>
        <v>0</v>
      </c>
      <c r="GJ78" s="21">
        <f t="shared" si="2"/>
        <v>0</v>
      </c>
      <c r="GK78" s="21">
        <f t="shared" si="2"/>
        <v>0</v>
      </c>
      <c r="GL78" s="21">
        <f t="shared" ref="GL78:HF78" si="3">SUM(GL5:GL77)</f>
        <v>0</v>
      </c>
      <c r="GM78" s="21">
        <f t="shared" si="3"/>
        <v>0</v>
      </c>
      <c r="GN78" s="21">
        <f t="shared" si="3"/>
        <v>0</v>
      </c>
      <c r="GO78" s="21">
        <f t="shared" si="3"/>
        <v>0</v>
      </c>
      <c r="GP78" s="21">
        <f t="shared" si="3"/>
        <v>0</v>
      </c>
      <c r="GQ78" s="21">
        <f t="shared" si="3"/>
        <v>0</v>
      </c>
      <c r="GR78" s="21">
        <f t="shared" si="3"/>
        <v>0</v>
      </c>
      <c r="GS78" s="21">
        <f t="shared" si="3"/>
        <v>0</v>
      </c>
      <c r="GT78" s="21">
        <f t="shared" si="3"/>
        <v>0</v>
      </c>
      <c r="GU78" s="21">
        <f t="shared" si="3"/>
        <v>0</v>
      </c>
      <c r="GV78" s="21">
        <f t="shared" si="3"/>
        <v>0</v>
      </c>
      <c r="GW78" s="21">
        <f t="shared" si="3"/>
        <v>0</v>
      </c>
      <c r="GX78" s="21">
        <f t="shared" si="3"/>
        <v>0</v>
      </c>
      <c r="GY78" s="21">
        <f t="shared" si="3"/>
        <v>0</v>
      </c>
      <c r="GZ78" s="21">
        <f t="shared" si="3"/>
        <v>0</v>
      </c>
      <c r="HA78" s="21">
        <f t="shared" si="3"/>
        <v>0</v>
      </c>
      <c r="HB78" s="21">
        <f t="shared" si="3"/>
        <v>0</v>
      </c>
      <c r="HC78" s="21">
        <f t="shared" si="3"/>
        <v>0</v>
      </c>
      <c r="HD78" s="21">
        <f t="shared" si="3"/>
        <v>0</v>
      </c>
      <c r="HE78" s="21">
        <f t="shared" si="3"/>
        <v>0</v>
      </c>
      <c r="HF78" s="21">
        <f t="shared" si="3"/>
        <v>0</v>
      </c>
      <c r="HG78" s="21">
        <f>SUM(HG5:IV77)</f>
        <v>0</v>
      </c>
    </row>
    <row r="79" spans="1:215" ht="13.5" thickTop="1">
      <c r="C79" s="17">
        <f>B78-C78</f>
        <v>0</v>
      </c>
    </row>
    <row r="80" spans="1:215"/>
    <row r="81" spans="1:1" hidden="1">
      <c r="A81" s="16" t="s">
        <v>155</v>
      </c>
    </row>
    <row r="82" spans="1:1" hidden="1"/>
    <row r="83" spans="1:1" hidden="1"/>
    <row r="84" spans="1:1" hidden="1">
      <c r="A84" s="23" t="s">
        <v>157</v>
      </c>
    </row>
    <row r="85" spans="1:1" hidden="1">
      <c r="A85" s="16" t="s">
        <v>159</v>
      </c>
    </row>
    <row r="86" spans="1:1" hidden="1"/>
    <row r="87" spans="1:1" hidden="1"/>
    <row r="88" spans="1:1" hidden="1">
      <c r="A88" s="16" t="s">
        <v>161</v>
      </c>
    </row>
    <row r="89" spans="1:1" hidden="1"/>
    <row r="90" spans="1:1" hidden="1"/>
    <row r="91" spans="1:1" hidden="1">
      <c r="A91" s="23" t="s">
        <v>162</v>
      </c>
    </row>
    <row r="92" spans="1:1" hidden="1">
      <c r="A92" s="16" t="s">
        <v>163</v>
      </c>
    </row>
    <row r="93" spans="1:1" hidden="1"/>
    <row r="94" spans="1:1" hidden="1"/>
    <row r="95" spans="1:1" hidden="1">
      <c r="A95" s="16" t="s">
        <v>156</v>
      </c>
    </row>
    <row r="96" spans="1:1" hidden="1"/>
    <row r="97" spans="1:1" hidden="1"/>
    <row r="98" spans="1:1" hidden="1">
      <c r="A98" s="23" t="s">
        <v>158</v>
      </c>
    </row>
    <row r="99" spans="1:1" hidden="1">
      <c r="A99" s="16" t="s">
        <v>160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0"/>
  <sheetViews>
    <sheetView showGridLines="0" tabSelected="1" topLeftCell="A30" zoomScaleNormal="75" zoomScaleSheetLayoutView="100" workbookViewId="0">
      <selection activeCell="D44" sqref="D44"/>
    </sheetView>
  </sheetViews>
  <sheetFormatPr defaultColWidth="0" defaultRowHeight="12.75" zeroHeight="1"/>
  <cols>
    <col min="1" max="1" width="55.7109375" style="24" customWidth="1"/>
    <col min="2" max="2" width="9.7109375" style="25" customWidth="1"/>
    <col min="3" max="3" width="1.7109375" style="28" customWidth="1"/>
    <col min="4" max="4" width="15.42578125" style="41" customWidth="1"/>
    <col min="5" max="5" width="18.42578125" style="27" hidden="1" customWidth="1"/>
    <col min="6" max="6" width="1.7109375" style="28" hidden="1" customWidth="1"/>
    <col min="7" max="7" width="15.85546875" style="43" hidden="1" customWidth="1"/>
    <col min="8" max="8" width="0" style="27" hidden="1" customWidth="1"/>
    <col min="9" max="9" width="12.85546875" style="27" hidden="1" customWidth="1"/>
    <col min="10" max="10" width="12.140625" style="27" hidden="1" customWidth="1"/>
    <col min="11" max="16384" width="0" style="27" hidden="1"/>
  </cols>
  <sheetData>
    <row r="1" spans="1:7" s="423" customFormat="1" hidden="1">
      <c r="A1" s="24" t="s">
        <v>0</v>
      </c>
      <c r="B1" s="25"/>
      <c r="C1" s="24"/>
      <c r="D1" s="26"/>
      <c r="F1" s="24"/>
      <c r="G1" s="28"/>
    </row>
    <row r="2" spans="1:7" s="423" customFormat="1" hidden="1">
      <c r="A2" s="24"/>
      <c r="B2" s="25"/>
      <c r="C2" s="24"/>
      <c r="D2" s="26"/>
      <c r="F2" s="24"/>
      <c r="G2" s="28"/>
    </row>
    <row r="3" spans="1:7" s="424" customFormat="1" ht="17.25" thickBot="1">
      <c r="A3" s="529" t="s">
        <v>85</v>
      </c>
      <c r="B3" s="529"/>
      <c r="C3" s="529"/>
      <c r="D3" s="529"/>
      <c r="E3" s="529"/>
      <c r="F3" s="529"/>
      <c r="G3" s="529"/>
    </row>
    <row r="4" spans="1:7" s="423" customFormat="1" ht="16.5">
      <c r="A4" s="530" t="s">
        <v>1</v>
      </c>
      <c r="B4" s="530"/>
      <c r="C4" s="530"/>
      <c r="D4" s="530"/>
      <c r="E4" s="530"/>
      <c r="F4" s="530"/>
      <c r="G4" s="530"/>
    </row>
    <row r="5" spans="1:7" s="423" customFormat="1" ht="16.5">
      <c r="A5" s="531" t="s">
        <v>447</v>
      </c>
      <c r="B5" s="531"/>
      <c r="C5" s="531"/>
      <c r="D5" s="531"/>
      <c r="E5" s="531"/>
      <c r="F5" s="531"/>
      <c r="G5" s="531"/>
    </row>
    <row r="6" spans="1:7" s="424" customFormat="1" ht="9" customHeight="1" thickBot="1">
      <c r="A6" s="528"/>
      <c r="B6" s="528"/>
      <c r="C6" s="528"/>
      <c r="D6" s="528"/>
      <c r="E6" s="528"/>
      <c r="F6" s="528"/>
      <c r="G6" s="528"/>
    </row>
    <row r="7" spans="1:7" s="29" customFormat="1" ht="12" customHeight="1">
      <c r="A7" s="358"/>
      <c r="B7" s="358"/>
      <c r="C7" s="359"/>
      <c r="D7" s="360"/>
      <c r="E7" s="159"/>
      <c r="F7" s="158"/>
      <c r="G7" s="160"/>
    </row>
    <row r="8" spans="1:7" ht="15">
      <c r="A8" s="361" t="s">
        <v>2</v>
      </c>
      <c r="B8" s="361" t="s">
        <v>3</v>
      </c>
      <c r="C8" s="362"/>
      <c r="D8" s="363" t="s">
        <v>513</v>
      </c>
      <c r="E8" s="161" t="s">
        <v>4</v>
      </c>
      <c r="F8" s="162">
        <v>2009</v>
      </c>
      <c r="G8" s="162">
        <v>2010</v>
      </c>
    </row>
    <row r="9" spans="1:7" s="30" customFormat="1" ht="24" customHeight="1">
      <c r="A9" s="364" t="s">
        <v>5</v>
      </c>
      <c r="B9" s="365"/>
      <c r="C9" s="366"/>
      <c r="D9" s="367"/>
      <c r="E9" s="165"/>
      <c r="F9" s="164"/>
      <c r="G9" s="164"/>
    </row>
    <row r="10" spans="1:7" s="30" customFormat="1" ht="18" customHeight="1">
      <c r="A10" s="364" t="s">
        <v>6</v>
      </c>
      <c r="B10" s="365"/>
      <c r="C10" s="368"/>
      <c r="D10" s="367"/>
      <c r="E10" s="165"/>
      <c r="F10" s="166"/>
      <c r="G10" s="166"/>
    </row>
    <row r="11" spans="1:7" s="30" customFormat="1" ht="18" customHeight="1">
      <c r="A11" s="369" t="s">
        <v>164</v>
      </c>
      <c r="B11" s="370"/>
      <c r="C11" s="365" t="s">
        <v>7</v>
      </c>
      <c r="D11" s="371">
        <f>TB!H7</f>
        <v>15000.002142857114</v>
      </c>
      <c r="E11" s="165"/>
      <c r="F11" s="167"/>
      <c r="G11" s="167"/>
    </row>
    <row r="12" spans="1:7" s="30" customFormat="1" ht="15">
      <c r="A12" s="369" t="s">
        <v>167</v>
      </c>
      <c r="B12" s="370">
        <v>1</v>
      </c>
      <c r="D12" s="371">
        <f>TB!H8</f>
        <v>681311.69</v>
      </c>
      <c r="E12" s="168" t="e">
        <f>+D12-#REF!</f>
        <v>#REF!</v>
      </c>
      <c r="F12" s="163" t="s">
        <v>7</v>
      </c>
      <c r="G12" s="169"/>
    </row>
    <row r="13" spans="1:7" s="30" customFormat="1" ht="15">
      <c r="A13" s="369" t="s">
        <v>168</v>
      </c>
      <c r="B13" s="370">
        <v>2</v>
      </c>
      <c r="D13" s="371">
        <f>TB!H9</f>
        <v>1220191.7588804425</v>
      </c>
      <c r="E13" s="168"/>
      <c r="F13" s="163"/>
      <c r="G13" s="169"/>
    </row>
    <row r="14" spans="1:7" s="30" customFormat="1" ht="15">
      <c r="A14" s="369" t="s">
        <v>516</v>
      </c>
      <c r="B14" s="370">
        <v>3</v>
      </c>
      <c r="D14" s="371">
        <f>TB!H10</f>
        <v>75149.069999999992</v>
      </c>
      <c r="E14" s="168"/>
      <c r="F14" s="163"/>
      <c r="G14" s="169"/>
    </row>
    <row r="15" spans="1:7" s="32" customFormat="1" ht="13.5" customHeight="1">
      <c r="A15" s="372" t="s">
        <v>8</v>
      </c>
      <c r="B15" s="373">
        <v>4</v>
      </c>
      <c r="C15" s="374"/>
      <c r="D15" s="375">
        <f>TB!H11</f>
        <v>1766300.61</v>
      </c>
      <c r="E15" s="168" t="e">
        <f>+D15-#REF!</f>
        <v>#REF!</v>
      </c>
      <c r="F15" s="170"/>
      <c r="G15" s="171"/>
    </row>
    <row r="16" spans="1:7" s="32" customFormat="1" ht="13.5" customHeight="1">
      <c r="A16" s="372" t="s">
        <v>422</v>
      </c>
      <c r="B16" s="373">
        <v>5</v>
      </c>
      <c r="C16" s="374"/>
      <c r="D16" s="375">
        <f>TB!H12</f>
        <v>461.16071428571433</v>
      </c>
      <c r="E16" s="168"/>
      <c r="F16" s="170"/>
      <c r="G16" s="171"/>
    </row>
    <row r="17" spans="1:10" s="30" customFormat="1" ht="13.5" customHeight="1">
      <c r="A17" s="369" t="s">
        <v>9</v>
      </c>
      <c r="B17" s="370">
        <v>6</v>
      </c>
      <c r="C17" s="365"/>
      <c r="D17" s="371">
        <f>TB!H18</f>
        <v>4359071.9781871438</v>
      </c>
      <c r="E17" s="168" t="e">
        <f>+D17-#REF!</f>
        <v>#REF!</v>
      </c>
      <c r="F17" s="163"/>
      <c r="G17" s="169"/>
    </row>
    <row r="18" spans="1:10" s="33" customFormat="1" ht="15">
      <c r="A18" s="383" t="s">
        <v>11</v>
      </c>
      <c r="B18" s="384"/>
      <c r="C18" s="384"/>
      <c r="D18" s="385">
        <f>SUM(D11:D17)</f>
        <v>8117486.2699247301</v>
      </c>
      <c r="E18" s="174" t="e">
        <f>SUM(E12:E21)</f>
        <v>#REF!</v>
      </c>
      <c r="F18" s="176"/>
      <c r="G18" s="174">
        <f ca="1">SUM(G12:G21)</f>
        <v>0</v>
      </c>
    </row>
    <row r="19" spans="1:10" s="30" customFormat="1" ht="15">
      <c r="A19" s="381"/>
      <c r="B19" s="374"/>
      <c r="C19" s="374"/>
      <c r="D19" s="382"/>
      <c r="E19" s="171"/>
      <c r="F19" s="170"/>
      <c r="G19" s="171"/>
    </row>
    <row r="20" spans="1:10" s="30" customFormat="1" ht="15">
      <c r="A20" s="381" t="s">
        <v>376</v>
      </c>
      <c r="B20" s="374"/>
      <c r="C20" s="374"/>
      <c r="D20" s="382"/>
      <c r="E20" s="171"/>
      <c r="F20" s="170"/>
      <c r="G20" s="171"/>
    </row>
    <row r="21" spans="1:10" s="32" customFormat="1" ht="15">
      <c r="A21" s="372" t="s">
        <v>10</v>
      </c>
      <c r="B21" s="373">
        <v>7</v>
      </c>
      <c r="C21" s="374"/>
      <c r="D21" s="375">
        <f>TB!H14+TB!H17</f>
        <v>152939.42250000002</v>
      </c>
      <c r="E21" s="175" t="e">
        <f>+D21-#REF!</f>
        <v>#REF!</v>
      </c>
      <c r="F21" s="170"/>
      <c r="G21" s="171"/>
    </row>
    <row r="22" spans="1:10" s="30" customFormat="1" ht="15">
      <c r="A22" s="372" t="s">
        <v>377</v>
      </c>
      <c r="B22" s="374"/>
      <c r="C22" s="374"/>
      <c r="D22" s="40">
        <f>TB!H15+TB!H16</f>
        <v>3035.8600000000006</v>
      </c>
      <c r="E22" s="171"/>
      <c r="F22" s="170"/>
      <c r="G22" s="171"/>
    </row>
    <row r="23" spans="1:10" s="33" customFormat="1" ht="15">
      <c r="A23" s="383" t="s">
        <v>378</v>
      </c>
      <c r="B23" s="384"/>
      <c r="C23" s="384"/>
      <c r="D23" s="385">
        <f>SUM(D21:D22)</f>
        <v>155975.28250000003</v>
      </c>
      <c r="E23" s="174"/>
      <c r="F23" s="176"/>
      <c r="G23" s="174"/>
    </row>
    <row r="24" spans="1:10" s="30" customFormat="1" ht="21.75" customHeight="1">
      <c r="A24" s="381" t="s">
        <v>366</v>
      </c>
      <c r="B24" s="374"/>
      <c r="C24" s="374"/>
      <c r="D24" s="382"/>
      <c r="E24" s="165"/>
      <c r="F24" s="170"/>
      <c r="G24" s="171"/>
    </row>
    <row r="25" spans="1:10" s="32" customFormat="1" ht="15">
      <c r="A25" s="372" t="s">
        <v>12</v>
      </c>
      <c r="B25" s="373" t="s">
        <v>13</v>
      </c>
      <c r="C25" s="374"/>
      <c r="D25" s="375">
        <f>SUM(TB!H19:H22)</f>
        <v>193253.81868651172</v>
      </c>
      <c r="E25" s="175" t="e">
        <f>+D25-#REF!</f>
        <v>#REF!</v>
      </c>
      <c r="F25" s="170"/>
      <c r="G25" s="171"/>
    </row>
    <row r="26" spans="1:10" s="32" customFormat="1" ht="15">
      <c r="A26" s="381" t="s">
        <v>365</v>
      </c>
      <c r="B26" s="373"/>
      <c r="C26" s="374"/>
      <c r="D26" s="375"/>
      <c r="E26" s="175"/>
      <c r="F26" s="170"/>
      <c r="G26" s="171"/>
    </row>
    <row r="27" spans="1:10" s="30" customFormat="1" ht="15">
      <c r="A27" s="372" t="s">
        <v>316</v>
      </c>
      <c r="B27" s="373" t="s">
        <v>13</v>
      </c>
      <c r="C27" s="374"/>
      <c r="D27" s="375">
        <f>SUM(TB!H23:H24)</f>
        <v>10383.823880952463</v>
      </c>
      <c r="E27" s="168"/>
      <c r="F27" s="170"/>
      <c r="G27" s="171"/>
    </row>
    <row r="28" spans="1:10" s="30" customFormat="1" ht="15">
      <c r="A28" s="372" t="s">
        <v>317</v>
      </c>
      <c r="B28" s="373" t="s">
        <v>13</v>
      </c>
      <c r="C28" s="374"/>
      <c r="D28" s="375">
        <f>SUM(TB!T25)</f>
        <v>0</v>
      </c>
      <c r="E28" s="168"/>
      <c r="F28" s="170"/>
      <c r="G28" s="171"/>
    </row>
    <row r="29" spans="1:10" s="33" customFormat="1" ht="15">
      <c r="A29" s="383" t="s">
        <v>318</v>
      </c>
      <c r="B29" s="384"/>
      <c r="C29" s="384"/>
      <c r="D29" s="385">
        <f>SUM(D25:D28)</f>
        <v>203637.64256746418</v>
      </c>
      <c r="E29" s="174" t="e">
        <f>SUM(E18:E28)</f>
        <v>#REF!</v>
      </c>
      <c r="F29" s="176"/>
      <c r="G29" s="174">
        <f ca="1">SUM(G18:G28)</f>
        <v>0</v>
      </c>
    </row>
    <row r="30" spans="1:10" s="34" customFormat="1" ht="25.5" customHeight="1" thickBot="1">
      <c r="A30" s="386" t="s">
        <v>14</v>
      </c>
      <c r="B30" s="387"/>
      <c r="C30" s="387" t="s">
        <v>7</v>
      </c>
      <c r="D30" s="388">
        <f>D18+D23+D29</f>
        <v>8477099.194992194</v>
      </c>
      <c r="E30" s="178" t="e">
        <f>+E18+E25+#REF!+#REF!</f>
        <v>#REF!</v>
      </c>
      <c r="F30" s="177" t="s">
        <v>7</v>
      </c>
      <c r="G30" s="178">
        <f ca="1">SUM(G18:G25)</f>
        <v>0</v>
      </c>
      <c r="I30" s="35"/>
      <c r="J30" s="36"/>
    </row>
    <row r="31" spans="1:10" s="37" customFormat="1" ht="26.25" customHeight="1" thickTop="1" thickBot="1">
      <c r="A31" s="437"/>
      <c r="B31" s="390"/>
      <c r="C31" s="391"/>
      <c r="D31" s="392"/>
      <c r="E31" s="180"/>
      <c r="F31" s="179"/>
      <c r="G31" s="181"/>
    </row>
    <row r="32" spans="1:10" s="30" customFormat="1" ht="30" customHeight="1">
      <c r="A32" s="364" t="s">
        <v>15</v>
      </c>
      <c r="B32" s="365"/>
      <c r="C32" s="393"/>
      <c r="D32" s="367"/>
      <c r="E32" s="165"/>
      <c r="F32" s="182"/>
      <c r="G32" s="169"/>
    </row>
    <row r="33" spans="1:12" s="30" customFormat="1" ht="21.75" customHeight="1">
      <c r="A33" s="364" t="s">
        <v>16</v>
      </c>
      <c r="B33" s="365"/>
      <c r="C33" s="393"/>
      <c r="E33" s="165"/>
      <c r="F33" s="182"/>
      <c r="G33" s="169"/>
    </row>
    <row r="34" spans="1:12" s="30" customFormat="1" ht="15">
      <c r="A34" s="364" t="s">
        <v>17</v>
      </c>
      <c r="B34" s="365"/>
      <c r="C34" s="393"/>
      <c r="D34" s="367"/>
      <c r="E34" s="165"/>
      <c r="F34" s="182"/>
      <c r="G34" s="169"/>
    </row>
    <row r="35" spans="1:12" s="30" customFormat="1" ht="15">
      <c r="A35" s="369" t="s">
        <v>18</v>
      </c>
      <c r="B35" s="370">
        <v>8</v>
      </c>
      <c r="C35" s="374" t="s">
        <v>7</v>
      </c>
      <c r="D35" s="367">
        <f>396075.24+55405</f>
        <v>451480.24</v>
      </c>
      <c r="E35" s="168" t="e">
        <f>+D35-#REF!</f>
        <v>#REF!</v>
      </c>
      <c r="F35" s="170" t="s">
        <v>7</v>
      </c>
      <c r="G35" s="169"/>
    </row>
    <row r="36" spans="1:12" s="30" customFormat="1" ht="15">
      <c r="A36" s="372" t="s">
        <v>398</v>
      </c>
      <c r="B36" s="373"/>
      <c r="C36" s="374"/>
      <c r="D36" s="382">
        <v>55405.13</v>
      </c>
      <c r="E36" s="168" t="e">
        <f>+D36-#REF!</f>
        <v>#REF!</v>
      </c>
      <c r="F36" s="170"/>
      <c r="G36" s="171">
        <v>0</v>
      </c>
    </row>
    <row r="37" spans="1:12" s="33" customFormat="1" ht="15">
      <c r="A37" s="383" t="s">
        <v>19</v>
      </c>
      <c r="B37" s="384"/>
      <c r="C37" s="384"/>
      <c r="D37" s="385">
        <f>SUM(D35:D36)</f>
        <v>506885.37</v>
      </c>
      <c r="E37" s="174" t="e">
        <f>SUM(E35:E35)</f>
        <v>#REF!</v>
      </c>
      <c r="F37" s="176"/>
      <c r="G37" s="174">
        <f>SUM(G35:G35)</f>
        <v>0</v>
      </c>
    </row>
    <row r="38" spans="1:12" s="30" customFormat="1" ht="22.5" customHeight="1">
      <c r="A38" s="381" t="s">
        <v>20</v>
      </c>
      <c r="B38" s="374"/>
      <c r="C38" s="374"/>
      <c r="D38" s="382">
        <v>0</v>
      </c>
      <c r="E38" s="165"/>
      <c r="F38" s="170"/>
      <c r="G38" s="171"/>
    </row>
    <row r="39" spans="1:12" s="30" customFormat="1" ht="22.5" hidden="1" customHeight="1">
      <c r="A39" s="376" t="s">
        <v>21</v>
      </c>
      <c r="B39" s="378"/>
      <c r="C39" s="378"/>
      <c r="D39" s="380">
        <v>0</v>
      </c>
      <c r="E39" s="183" t="e">
        <f>+D39-#REF!</f>
        <v>#REF!</v>
      </c>
      <c r="F39" s="172"/>
      <c r="G39" s="173"/>
    </row>
    <row r="40" spans="1:12" s="30" customFormat="1" ht="15">
      <c r="A40" s="379" t="s">
        <v>165</v>
      </c>
      <c r="B40" s="378"/>
      <c r="C40" s="378"/>
      <c r="D40" s="380">
        <f>+D37+D39</f>
        <v>506885.37</v>
      </c>
      <c r="E40" s="173" t="e">
        <f>+E37+E39</f>
        <v>#REF!</v>
      </c>
      <c r="F40" s="172"/>
      <c r="G40" s="173">
        <f>+G37+G39</f>
        <v>0</v>
      </c>
    </row>
    <row r="41" spans="1:12" s="30" customFormat="1" ht="22.5" customHeight="1">
      <c r="A41" s="364" t="s">
        <v>22</v>
      </c>
      <c r="B41" s="365"/>
      <c r="C41" s="393"/>
      <c r="D41" s="367"/>
      <c r="E41" s="165"/>
      <c r="F41" s="182"/>
      <c r="G41" s="166"/>
    </row>
    <row r="42" spans="1:12" s="30" customFormat="1" ht="18" customHeight="1">
      <c r="A42" s="369" t="s">
        <v>23</v>
      </c>
      <c r="B42" s="370"/>
      <c r="C42" s="393"/>
      <c r="D42" s="367"/>
      <c r="E42" s="165"/>
      <c r="F42" s="182"/>
      <c r="G42" s="169"/>
    </row>
    <row r="43" spans="1:12" s="30" customFormat="1" ht="15">
      <c r="A43" s="30" t="s">
        <v>174</v>
      </c>
      <c r="B43" s="394"/>
      <c r="C43" s="393"/>
      <c r="D43" s="367">
        <f>-TB!H45</f>
        <v>10000000</v>
      </c>
      <c r="E43" s="165"/>
      <c r="F43" s="182"/>
      <c r="G43" s="169"/>
    </row>
    <row r="44" spans="1:12" s="30" customFormat="1" ht="15">
      <c r="A44" s="376" t="s">
        <v>24</v>
      </c>
      <c r="B44" s="377"/>
      <c r="C44" s="395"/>
      <c r="D44" s="380">
        <f>-TB!H46+IS!D50</f>
        <v>-2029786.1609954762</v>
      </c>
      <c r="E44" s="168" t="e">
        <f>+D44-#REF!</f>
        <v>#REF!</v>
      </c>
      <c r="F44" s="184"/>
      <c r="G44" s="173"/>
      <c r="J44" s="38"/>
      <c r="K44" s="38"/>
    </row>
    <row r="45" spans="1:12" s="30" customFormat="1" ht="15">
      <c r="A45" s="379" t="s">
        <v>25</v>
      </c>
      <c r="B45" s="378"/>
      <c r="C45" s="395"/>
      <c r="D45" s="380">
        <f>SUM(D43:D44)</f>
        <v>7970213.8390045241</v>
      </c>
      <c r="E45" s="174" t="e">
        <f>+#REF!+E44</f>
        <v>#REF!</v>
      </c>
      <c r="F45" s="184"/>
      <c r="G45" s="173" t="e">
        <f>+#REF!+G44</f>
        <v>#REF!</v>
      </c>
      <c r="J45" s="39"/>
    </row>
    <row r="46" spans="1:12" s="30" customFormat="1" ht="7.5" customHeight="1">
      <c r="A46" s="369"/>
      <c r="B46" s="370"/>
      <c r="C46" s="365"/>
      <c r="D46" s="367"/>
      <c r="E46" s="165"/>
      <c r="F46" s="163"/>
      <c r="G46" s="169"/>
    </row>
    <row r="47" spans="1:12" s="30" customFormat="1" ht="19.5" customHeight="1" thickBot="1">
      <c r="A47" s="396" t="s">
        <v>26</v>
      </c>
      <c r="B47" s="397"/>
      <c r="C47" s="397" t="s">
        <v>7</v>
      </c>
      <c r="D47" s="398">
        <f>+D40+D45</f>
        <v>8477099.2090045232</v>
      </c>
      <c r="E47" s="186" t="e">
        <f>+E40+E45</f>
        <v>#REF!</v>
      </c>
      <c r="F47" s="185" t="s">
        <v>7</v>
      </c>
      <c r="G47" s="186" t="e">
        <f>+G40+G45</f>
        <v>#REF!</v>
      </c>
      <c r="I47" s="40"/>
      <c r="J47" s="31"/>
      <c r="L47" s="39"/>
    </row>
    <row r="48" spans="1:12" s="37" customFormat="1" ht="23.25" customHeight="1" thickTop="1" thickBot="1">
      <c r="A48" s="389"/>
      <c r="B48" s="390"/>
      <c r="C48" s="391"/>
      <c r="D48" s="392">
        <f>D30-D47</f>
        <v>-1.4012329280376434E-2</v>
      </c>
      <c r="E48" s="180"/>
      <c r="F48" s="179"/>
      <c r="G48" s="181"/>
    </row>
    <row r="49" spans="1:7" ht="15" hidden="1">
      <c r="A49" s="399"/>
      <c r="B49" s="400"/>
      <c r="C49" s="401"/>
      <c r="D49" s="402">
        <f>D47-D30</f>
        <v>1.4012329280376434E-2</v>
      </c>
      <c r="E49" s="188" t="e">
        <f>+E30-E47</f>
        <v>#REF!</v>
      </c>
      <c r="F49" s="187"/>
      <c r="G49" s="188" t="e">
        <f ca="1">+G30-G47</f>
        <v>#REF!</v>
      </c>
    </row>
    <row r="50" spans="1:7" ht="15" hidden="1">
      <c r="A50" s="403"/>
      <c r="B50" s="404"/>
      <c r="C50" s="401"/>
      <c r="D50" s="405"/>
      <c r="E50" s="156"/>
      <c r="F50" s="187"/>
      <c r="G50" s="188"/>
    </row>
    <row r="51" spans="1:7" ht="15" hidden="1">
      <c r="A51" s="406"/>
      <c r="B51" s="407"/>
      <c r="C51" s="401"/>
      <c r="D51" s="405"/>
      <c r="E51" s="156"/>
      <c r="F51" s="187"/>
      <c r="G51" s="188" t="e">
        <f ca="1">G30-G47</f>
        <v>#REF!</v>
      </c>
    </row>
    <row r="52" spans="1:7" ht="15" hidden="1">
      <c r="A52" s="406"/>
      <c r="B52" s="407"/>
      <c r="C52" s="404"/>
      <c r="D52" s="408"/>
      <c r="E52" s="156"/>
      <c r="F52" s="189"/>
      <c r="G52" s="191"/>
    </row>
    <row r="53" spans="1:7" ht="15" hidden="1">
      <c r="A53" s="403"/>
      <c r="B53" s="404"/>
      <c r="C53" s="404"/>
      <c r="D53" s="329"/>
      <c r="E53" s="156"/>
      <c r="F53" s="189"/>
      <c r="G53" s="156"/>
    </row>
    <row r="54" spans="1:7" ht="15.75" hidden="1">
      <c r="A54" s="406"/>
      <c r="B54" s="407"/>
      <c r="C54" s="407"/>
      <c r="D54" s="409"/>
      <c r="E54" s="156"/>
      <c r="F54" s="190"/>
      <c r="G54" s="192"/>
    </row>
    <row r="55" spans="1:7" ht="15" hidden="1">
      <c r="A55" s="403"/>
      <c r="B55" s="404">
        <v>472753.27750000003</v>
      </c>
      <c r="C55" s="401"/>
      <c r="D55" s="405"/>
      <c r="E55" s="156"/>
      <c r="F55" s="187"/>
      <c r="G55" s="188"/>
    </row>
    <row r="56" spans="1:7" ht="15" hidden="1">
      <c r="A56" s="403"/>
      <c r="B56" s="404">
        <v>0</v>
      </c>
      <c r="C56" s="401"/>
      <c r="D56" s="405"/>
      <c r="E56" s="156"/>
      <c r="F56" s="187"/>
      <c r="G56" s="188"/>
    </row>
    <row r="57" spans="1:7" ht="13.5" hidden="1">
      <c r="A57" s="410"/>
      <c r="B57" s="411">
        <v>4550</v>
      </c>
      <c r="C57" s="412"/>
      <c r="D57" s="413"/>
      <c r="E57" s="156"/>
      <c r="F57" s="193"/>
      <c r="G57" s="193"/>
    </row>
    <row r="58" spans="1:7" hidden="1">
      <c r="A58" s="414"/>
      <c r="B58" s="415">
        <v>82948.89</v>
      </c>
      <c r="C58" s="416"/>
      <c r="D58" s="417"/>
      <c r="E58" s="156"/>
      <c r="F58" s="194"/>
      <c r="G58" s="194"/>
    </row>
    <row r="59" spans="1:7" hidden="1">
      <c r="A59" s="414"/>
      <c r="B59" s="415">
        <v>65517</v>
      </c>
      <c r="C59" s="416"/>
      <c r="D59" s="417"/>
      <c r="E59" s="156"/>
      <c r="F59" s="194"/>
      <c r="G59" s="194"/>
    </row>
    <row r="60" spans="1:7" ht="15" hidden="1">
      <c r="A60" s="418"/>
      <c r="B60" s="419">
        <v>436774.89</v>
      </c>
      <c r="C60" s="416"/>
      <c r="D60" s="417"/>
      <c r="E60" s="156"/>
      <c r="F60" s="194"/>
      <c r="G60" s="194"/>
    </row>
    <row r="61" spans="1:7" hidden="1">
      <c r="A61" s="414"/>
      <c r="B61" s="415">
        <v>2454.1928571428571</v>
      </c>
      <c r="C61" s="416"/>
      <c r="D61" s="417"/>
      <c r="E61" s="156"/>
      <c r="F61" s="194"/>
      <c r="G61" s="194"/>
    </row>
    <row r="62" spans="1:7" hidden="1">
      <c r="A62" s="414"/>
      <c r="B62" s="415">
        <v>63030</v>
      </c>
      <c r="C62" s="416"/>
      <c r="D62" s="417"/>
      <c r="E62" s="156"/>
      <c r="F62" s="194"/>
      <c r="G62" s="194"/>
    </row>
    <row r="63" spans="1:7" hidden="1">
      <c r="A63" s="414"/>
      <c r="B63" s="415">
        <v>108313.93681547619</v>
      </c>
      <c r="C63" s="416"/>
      <c r="D63" s="417"/>
      <c r="E63" s="156"/>
      <c r="F63" s="194"/>
      <c r="G63" s="194"/>
    </row>
    <row r="64" spans="1:7" hidden="1">
      <c r="A64" s="414"/>
      <c r="B64" s="415">
        <v>84303.791587301603</v>
      </c>
      <c r="C64" s="416"/>
      <c r="D64" s="417"/>
      <c r="E64" s="156"/>
      <c r="F64" s="194"/>
      <c r="G64" s="194"/>
    </row>
    <row r="65" spans="1:7" hidden="1">
      <c r="A65" s="414"/>
      <c r="B65" s="415">
        <v>12391.13</v>
      </c>
      <c r="C65" s="416"/>
      <c r="D65" s="417"/>
      <c r="E65" s="156"/>
      <c r="F65" s="194"/>
      <c r="G65" s="194"/>
    </row>
    <row r="66" spans="1:7" hidden="1">
      <c r="A66" s="414"/>
      <c r="B66" s="415">
        <v>34384.642857142855</v>
      </c>
      <c r="C66" s="416"/>
      <c r="D66" s="417"/>
      <c r="E66" s="156"/>
      <c r="F66" s="194"/>
      <c r="G66" s="194"/>
    </row>
    <row r="67" spans="1:7" hidden="1">
      <c r="A67" s="414"/>
      <c r="B67" s="415">
        <v>117000</v>
      </c>
      <c r="C67" s="416"/>
      <c r="D67" s="417"/>
      <c r="E67" s="156"/>
      <c r="F67" s="194"/>
      <c r="G67" s="194"/>
    </row>
    <row r="68" spans="1:7" hidden="1">
      <c r="A68" s="414"/>
      <c r="B68" s="415">
        <v>385</v>
      </c>
      <c r="C68" s="416"/>
      <c r="D68" s="417"/>
      <c r="E68" s="156"/>
      <c r="F68" s="194"/>
      <c r="G68" s="194"/>
    </row>
    <row r="69" spans="1:7" hidden="1">
      <c r="A69" s="414"/>
      <c r="B69" s="415">
        <v>25446.428571428569</v>
      </c>
      <c r="C69" s="416"/>
      <c r="D69" s="417"/>
      <c r="E69" s="156"/>
      <c r="F69" s="194"/>
      <c r="G69" s="194"/>
    </row>
    <row r="70" spans="1:7" hidden="1">
      <c r="A70" s="414"/>
      <c r="B70" s="415">
        <v>24318.652857142857</v>
      </c>
      <c r="C70" s="416"/>
      <c r="D70" s="417"/>
      <c r="E70" s="156"/>
      <c r="F70" s="194"/>
      <c r="G70" s="194"/>
    </row>
    <row r="71" spans="1:7" hidden="1">
      <c r="A71" s="414"/>
      <c r="B71" s="415">
        <v>4425.51</v>
      </c>
      <c r="C71" s="416"/>
      <c r="D71" s="417"/>
      <c r="E71" s="156"/>
      <c r="F71" s="194"/>
      <c r="G71" s="194"/>
    </row>
    <row r="72" spans="1:7" hidden="1">
      <c r="A72" s="414"/>
      <c r="B72" s="415">
        <v>66481.954285714281</v>
      </c>
      <c r="C72" s="416"/>
      <c r="D72" s="417"/>
      <c r="E72" s="156"/>
      <c r="F72" s="194"/>
      <c r="G72" s="194"/>
    </row>
    <row r="73" spans="1:7" hidden="1">
      <c r="A73" s="414"/>
      <c r="B73" s="415">
        <v>41594.761428571415</v>
      </c>
      <c r="C73" s="416"/>
      <c r="D73" s="417"/>
      <c r="E73" s="156"/>
      <c r="F73" s="194"/>
      <c r="G73" s="194"/>
    </row>
    <row r="74" spans="1:7" hidden="1">
      <c r="A74" s="414"/>
      <c r="B74" s="415">
        <v>81118.234642857133</v>
      </c>
      <c r="C74" s="420"/>
      <c r="D74" s="417"/>
      <c r="E74" s="156"/>
      <c r="F74" s="195"/>
      <c r="G74" s="195"/>
    </row>
    <row r="75" spans="1:7" hidden="1">
      <c r="B75" s="25">
        <v>12791.97</v>
      </c>
      <c r="C75" s="421"/>
      <c r="D75" s="422"/>
      <c r="E75" s="156"/>
      <c r="F75" s="196"/>
      <c r="G75" s="197"/>
    </row>
    <row r="76" spans="1:7" hidden="1">
      <c r="B76" s="25">
        <v>8232.6</v>
      </c>
      <c r="C76" s="421"/>
      <c r="D76" s="422"/>
      <c r="E76" s="156"/>
      <c r="F76" s="196"/>
      <c r="G76" s="197"/>
    </row>
    <row r="77" spans="1:7" s="42" customFormat="1" hidden="1">
      <c r="A77" s="24"/>
      <c r="B77" s="25">
        <v>8932.2199999999993</v>
      </c>
      <c r="C77" s="421"/>
      <c r="D77" s="41"/>
      <c r="E77" s="156"/>
      <c r="F77" s="196"/>
      <c r="G77" s="198"/>
    </row>
    <row r="78" spans="1:7" s="42" customFormat="1" hidden="1">
      <c r="A78" s="24"/>
      <c r="B78" s="25">
        <v>2200</v>
      </c>
      <c r="C78" s="421"/>
      <c r="D78" s="41"/>
      <c r="E78" s="156"/>
      <c r="F78" s="196"/>
      <c r="G78" s="198"/>
    </row>
    <row r="79" spans="1:7" s="42" customFormat="1" hidden="1">
      <c r="A79" s="24"/>
      <c r="B79" s="25">
        <v>2675.5035999996589</v>
      </c>
      <c r="C79" s="421"/>
      <c r="D79" s="41"/>
      <c r="E79" s="156"/>
      <c r="F79" s="196"/>
      <c r="G79" s="198"/>
    </row>
    <row r="80" spans="1:7" s="42" customFormat="1" hidden="1">
      <c r="A80" s="24"/>
      <c r="B80" s="25"/>
      <c r="C80" s="421"/>
      <c r="D80" s="41"/>
      <c r="E80" s="156"/>
      <c r="F80" s="196"/>
      <c r="G80" s="198"/>
    </row>
    <row r="81" spans="1:7" s="42" customFormat="1" hidden="1">
      <c r="A81" s="24"/>
      <c r="B81" s="25">
        <f>SUM(B5:B80)</f>
        <v>1763060.5870027777</v>
      </c>
      <c r="C81" s="421"/>
      <c r="D81" s="41"/>
      <c r="E81" s="156"/>
      <c r="F81" s="196"/>
      <c r="G81" s="198"/>
    </row>
    <row r="82" spans="1:7" s="42" customFormat="1" hidden="1">
      <c r="A82" s="24"/>
      <c r="B82" s="25"/>
      <c r="C82" s="421"/>
      <c r="D82" s="41"/>
      <c r="E82" s="156"/>
      <c r="F82" s="196"/>
      <c r="G82" s="198"/>
    </row>
    <row r="83" spans="1:7" s="42" customFormat="1" hidden="1">
      <c r="A83" s="24"/>
      <c r="B83" s="25"/>
      <c r="C83" s="421"/>
      <c r="D83" s="41"/>
      <c r="E83" s="156"/>
      <c r="F83" s="196"/>
      <c r="G83" s="198"/>
    </row>
    <row r="84" spans="1:7" s="42" customFormat="1" hidden="1">
      <c r="A84" s="24"/>
      <c r="B84" s="25"/>
      <c r="C84" s="421"/>
      <c r="D84" s="41"/>
      <c r="E84" s="156"/>
      <c r="F84" s="196"/>
      <c r="G84" s="198"/>
    </row>
    <row r="85" spans="1:7" s="42" customFormat="1" hidden="1">
      <c r="A85" s="24"/>
      <c r="B85" s="25"/>
      <c r="C85" s="421"/>
      <c r="D85" s="41"/>
      <c r="E85" s="156"/>
      <c r="F85" s="196"/>
      <c r="G85" s="198"/>
    </row>
    <row r="86" spans="1:7" s="42" customFormat="1" hidden="1">
      <c r="A86" s="24"/>
      <c r="B86" s="25"/>
      <c r="C86" s="421"/>
      <c r="D86" s="41"/>
      <c r="E86" s="156"/>
      <c r="F86" s="196"/>
      <c r="G86" s="198"/>
    </row>
    <row r="87" spans="1:7" s="42" customFormat="1" hidden="1">
      <c r="A87" s="24"/>
      <c r="B87" s="25"/>
      <c r="C87" s="421"/>
      <c r="D87" s="41"/>
      <c r="E87" s="156"/>
      <c r="F87" s="196"/>
      <c r="G87" s="198"/>
    </row>
    <row r="88" spans="1:7" s="42" customFormat="1" hidden="1">
      <c r="A88" s="24"/>
      <c r="B88" s="25"/>
      <c r="C88" s="421"/>
      <c r="D88" s="41"/>
      <c r="E88" s="156"/>
      <c r="F88" s="196"/>
      <c r="G88" s="198"/>
    </row>
    <row r="89" spans="1:7" s="42" customFormat="1" hidden="1">
      <c r="A89" s="24"/>
      <c r="B89" s="25"/>
      <c r="C89" s="421"/>
      <c r="D89" s="41"/>
      <c r="E89" s="156"/>
      <c r="F89" s="196"/>
      <c r="G89" s="198"/>
    </row>
    <row r="90" spans="1:7" s="42" customFormat="1" hidden="1">
      <c r="A90" s="24"/>
      <c r="B90" s="25"/>
      <c r="C90" s="421"/>
      <c r="D90" s="41"/>
      <c r="E90" s="156"/>
      <c r="F90" s="196"/>
      <c r="G90" s="198"/>
    </row>
    <row r="91" spans="1:7" s="42" customFormat="1" hidden="1">
      <c r="A91" s="24"/>
      <c r="B91" s="25"/>
      <c r="C91" s="421"/>
      <c r="D91" s="41"/>
      <c r="E91" s="156"/>
      <c r="F91" s="196"/>
      <c r="G91" s="198"/>
    </row>
    <row r="92" spans="1:7" s="42" customFormat="1" hidden="1">
      <c r="A92" s="24"/>
      <c r="B92" s="25"/>
      <c r="C92" s="421"/>
      <c r="D92" s="41"/>
      <c r="E92" s="156"/>
      <c r="F92" s="196"/>
      <c r="G92" s="198"/>
    </row>
    <row r="93" spans="1:7" s="42" customFormat="1" hidden="1">
      <c r="A93" s="24"/>
      <c r="B93" s="25"/>
      <c r="C93" s="421"/>
      <c r="D93" s="41"/>
      <c r="E93" s="156"/>
      <c r="F93" s="196"/>
      <c r="G93" s="198"/>
    </row>
    <row r="94" spans="1:7" s="42" customFormat="1" hidden="1">
      <c r="A94" s="24"/>
      <c r="B94" s="25"/>
      <c r="C94" s="421"/>
      <c r="D94" s="41"/>
      <c r="E94" s="156"/>
      <c r="F94" s="196"/>
      <c r="G94" s="198"/>
    </row>
    <row r="95" spans="1:7" s="42" customFormat="1" hidden="1">
      <c r="A95" s="24"/>
      <c r="B95" s="25"/>
      <c r="C95" s="421"/>
      <c r="D95" s="41"/>
      <c r="E95" s="156"/>
      <c r="F95" s="196"/>
      <c r="G95" s="198"/>
    </row>
    <row r="96" spans="1:7" s="42" customFormat="1" hidden="1">
      <c r="A96" s="24"/>
      <c r="B96" s="25"/>
      <c r="C96" s="421"/>
      <c r="D96" s="41"/>
      <c r="E96" s="156"/>
      <c r="F96" s="196"/>
      <c r="G96" s="198"/>
    </row>
    <row r="97" spans="1:7" s="42" customFormat="1" hidden="1">
      <c r="A97" s="24"/>
      <c r="B97" s="25"/>
      <c r="C97" s="421"/>
      <c r="D97" s="41"/>
      <c r="E97" s="156"/>
      <c r="F97" s="196"/>
      <c r="G97" s="198"/>
    </row>
    <row r="98" spans="1:7" s="42" customFormat="1" hidden="1">
      <c r="A98" s="24"/>
      <c r="B98" s="25"/>
      <c r="C98" s="421"/>
      <c r="D98" s="41"/>
      <c r="E98" s="156"/>
      <c r="F98" s="196"/>
      <c r="G98" s="198"/>
    </row>
    <row r="99" spans="1:7" s="42" customFormat="1" hidden="1">
      <c r="A99" s="24"/>
      <c r="B99" s="25"/>
      <c r="C99" s="421"/>
      <c r="D99" s="41"/>
      <c r="E99" s="156"/>
      <c r="F99" s="196"/>
      <c r="G99" s="198"/>
    </row>
    <row r="100" spans="1:7" s="42" customFormat="1" hidden="1">
      <c r="A100" s="24"/>
      <c r="B100" s="25"/>
      <c r="C100" s="421"/>
      <c r="D100" s="41"/>
      <c r="E100" s="156"/>
      <c r="F100" s="196"/>
      <c r="G100" s="198"/>
    </row>
    <row r="101" spans="1:7" s="42" customFormat="1" hidden="1">
      <c r="A101" s="24"/>
      <c r="B101" s="25"/>
      <c r="C101" s="421"/>
      <c r="D101" s="41"/>
      <c r="E101" s="156"/>
      <c r="F101" s="196"/>
      <c r="G101" s="198"/>
    </row>
    <row r="102" spans="1:7" s="42" customFormat="1" hidden="1">
      <c r="A102" s="24"/>
      <c r="B102" s="25"/>
      <c r="C102" s="421"/>
      <c r="D102" s="41"/>
      <c r="E102" s="156"/>
      <c r="F102" s="196"/>
      <c r="G102" s="198"/>
    </row>
    <row r="103" spans="1:7" s="42" customFormat="1" hidden="1">
      <c r="A103" s="24"/>
      <c r="B103" s="25"/>
      <c r="C103" s="421"/>
      <c r="D103" s="41"/>
      <c r="E103" s="156"/>
      <c r="F103" s="196"/>
      <c r="G103" s="198"/>
    </row>
    <row r="104" spans="1:7" s="42" customFormat="1" hidden="1">
      <c r="A104" s="24"/>
      <c r="B104" s="25"/>
      <c r="C104" s="421"/>
      <c r="D104" s="41"/>
      <c r="E104" s="156"/>
      <c r="F104" s="196"/>
      <c r="G104" s="198"/>
    </row>
    <row r="105" spans="1:7" s="42" customFormat="1" hidden="1">
      <c r="A105" s="24"/>
      <c r="B105" s="25"/>
      <c r="C105" s="421"/>
      <c r="D105" s="41"/>
      <c r="E105" s="156"/>
      <c r="F105" s="196"/>
      <c r="G105" s="198"/>
    </row>
    <row r="106" spans="1:7" s="42" customFormat="1" hidden="1">
      <c r="A106" s="24"/>
      <c r="B106" s="25"/>
      <c r="C106" s="421"/>
      <c r="D106" s="41"/>
      <c r="E106" s="156"/>
      <c r="F106" s="196"/>
      <c r="G106" s="198"/>
    </row>
    <row r="107" spans="1:7" s="42" customFormat="1" hidden="1">
      <c r="A107" s="24"/>
      <c r="B107" s="25"/>
      <c r="C107" s="421"/>
      <c r="D107" s="41"/>
      <c r="E107" s="156"/>
      <c r="F107" s="196"/>
      <c r="G107" s="198"/>
    </row>
    <row r="108" spans="1:7" s="42" customFormat="1" hidden="1">
      <c r="A108" s="24"/>
      <c r="B108" s="25"/>
      <c r="C108" s="421"/>
      <c r="D108" s="41"/>
      <c r="E108" s="156"/>
      <c r="F108" s="196"/>
      <c r="G108" s="198"/>
    </row>
    <row r="109" spans="1:7" s="42" customFormat="1" hidden="1">
      <c r="A109" s="24"/>
      <c r="B109" s="25"/>
      <c r="C109" s="421"/>
      <c r="D109" s="41"/>
      <c r="E109" s="156"/>
      <c r="F109" s="196"/>
      <c r="G109" s="198"/>
    </row>
    <row r="110" spans="1:7" s="42" customFormat="1" hidden="1">
      <c r="A110" s="24"/>
      <c r="B110" s="25"/>
      <c r="C110" s="421"/>
      <c r="D110" s="41"/>
      <c r="E110" s="156"/>
      <c r="F110" s="196"/>
      <c r="G110" s="198"/>
    </row>
    <row r="111" spans="1:7" s="42" customFormat="1" hidden="1">
      <c r="A111" s="24"/>
      <c r="B111" s="25"/>
      <c r="C111" s="421"/>
      <c r="D111" s="41"/>
      <c r="E111" s="156"/>
      <c r="F111" s="196"/>
      <c r="G111" s="198"/>
    </row>
    <row r="112" spans="1:7" s="42" customFormat="1" hidden="1">
      <c r="A112" s="24"/>
      <c r="B112" s="25"/>
      <c r="C112" s="421"/>
      <c r="D112" s="41"/>
      <c r="E112" s="156"/>
      <c r="F112" s="196"/>
      <c r="G112" s="198"/>
    </row>
    <row r="113" spans="1:7" s="42" customFormat="1" hidden="1">
      <c r="A113" s="24"/>
      <c r="B113" s="25"/>
      <c r="C113" s="421"/>
      <c r="D113" s="41"/>
      <c r="E113" s="156"/>
      <c r="F113" s="196"/>
      <c r="G113" s="198"/>
    </row>
    <row r="114" spans="1:7" s="42" customFormat="1" hidden="1">
      <c r="A114" s="24"/>
      <c r="B114" s="25"/>
      <c r="C114" s="421"/>
      <c r="D114" s="41"/>
      <c r="E114" s="156"/>
      <c r="F114" s="196"/>
      <c r="G114" s="198"/>
    </row>
    <row r="115" spans="1:7" s="42" customFormat="1" hidden="1">
      <c r="A115" s="24"/>
      <c r="B115" s="25"/>
      <c r="C115" s="421"/>
      <c r="D115" s="41"/>
      <c r="E115" s="156"/>
      <c r="F115" s="196"/>
      <c r="G115" s="198"/>
    </row>
    <row r="116" spans="1:7" s="42" customFormat="1" hidden="1">
      <c r="A116" s="24"/>
      <c r="B116" s="25"/>
      <c r="C116" s="421"/>
      <c r="D116" s="41"/>
      <c r="E116" s="156"/>
      <c r="F116" s="196"/>
      <c r="G116" s="198"/>
    </row>
    <row r="117" spans="1:7" s="42" customFormat="1" hidden="1">
      <c r="A117" s="24"/>
      <c r="B117" s="25"/>
      <c r="C117" s="421"/>
      <c r="D117" s="41"/>
      <c r="E117" s="156"/>
      <c r="F117" s="196"/>
      <c r="G117" s="198"/>
    </row>
    <row r="118" spans="1:7" s="42" customFormat="1" hidden="1">
      <c r="A118" s="24"/>
      <c r="B118" s="25"/>
      <c r="C118" s="421"/>
      <c r="D118" s="41"/>
      <c r="E118" s="156"/>
      <c r="F118" s="196"/>
      <c r="G118" s="198"/>
    </row>
    <row r="119" spans="1:7" s="42" customFormat="1" hidden="1">
      <c r="A119" s="24"/>
      <c r="B119" s="25"/>
      <c r="C119" s="421"/>
      <c r="D119" s="41"/>
      <c r="E119" s="156"/>
      <c r="F119" s="196"/>
      <c r="G119" s="198"/>
    </row>
    <row r="120" spans="1:7" s="42" customFormat="1" hidden="1">
      <c r="A120" s="24"/>
      <c r="B120" s="25"/>
      <c r="C120" s="421"/>
      <c r="D120" s="41"/>
      <c r="E120" s="156"/>
      <c r="F120" s="196"/>
      <c r="G120" s="198"/>
    </row>
    <row r="121" spans="1:7" s="42" customFormat="1" hidden="1">
      <c r="A121" s="24"/>
      <c r="B121" s="25"/>
      <c r="C121" s="421"/>
      <c r="D121" s="41"/>
      <c r="E121" s="156"/>
      <c r="F121" s="196"/>
      <c r="G121" s="198"/>
    </row>
    <row r="122" spans="1:7" s="42" customFormat="1" hidden="1">
      <c r="A122" s="24"/>
      <c r="B122" s="25"/>
      <c r="C122" s="421"/>
      <c r="D122" s="41"/>
      <c r="E122" s="156"/>
      <c r="F122" s="196"/>
      <c r="G122" s="198"/>
    </row>
    <row r="123" spans="1:7" s="42" customFormat="1" hidden="1">
      <c r="A123" s="24"/>
      <c r="B123" s="25"/>
      <c r="C123" s="421"/>
      <c r="D123" s="41"/>
      <c r="E123" s="156"/>
      <c r="F123" s="196"/>
      <c r="G123" s="198"/>
    </row>
    <row r="124" spans="1:7" s="42" customFormat="1" hidden="1">
      <c r="A124" s="24"/>
      <c r="B124" s="25"/>
      <c r="C124" s="421"/>
      <c r="D124" s="41"/>
      <c r="E124" s="156"/>
      <c r="F124" s="196"/>
      <c r="G124" s="198"/>
    </row>
    <row r="125" spans="1:7" s="42" customFormat="1" hidden="1">
      <c r="A125" s="24"/>
      <c r="B125" s="25"/>
      <c r="C125" s="421"/>
      <c r="D125" s="41"/>
      <c r="E125" s="156"/>
      <c r="F125" s="196"/>
      <c r="G125" s="198"/>
    </row>
    <row r="126" spans="1:7" s="42" customFormat="1" hidden="1">
      <c r="A126" s="24"/>
      <c r="B126" s="25"/>
      <c r="C126" s="421"/>
      <c r="D126" s="41"/>
      <c r="E126" s="156"/>
      <c r="F126" s="196"/>
      <c r="G126" s="198"/>
    </row>
    <row r="127" spans="1:7" s="42" customFormat="1" hidden="1">
      <c r="A127" s="24"/>
      <c r="B127" s="25"/>
      <c r="C127" s="421"/>
      <c r="D127" s="41"/>
      <c r="E127" s="156"/>
      <c r="F127" s="196"/>
      <c r="G127" s="198"/>
    </row>
    <row r="128" spans="1:7" s="42" customFormat="1" hidden="1">
      <c r="A128" s="24"/>
      <c r="B128" s="25"/>
      <c r="C128" s="421"/>
      <c r="D128" s="41"/>
      <c r="E128" s="156"/>
      <c r="F128" s="196"/>
      <c r="G128" s="198"/>
    </row>
    <row r="129" spans="1:7" s="42" customFormat="1" hidden="1">
      <c r="A129" s="24"/>
      <c r="B129" s="25"/>
      <c r="C129" s="421"/>
      <c r="D129" s="41"/>
      <c r="E129" s="156"/>
      <c r="F129" s="196"/>
      <c r="G129" s="198"/>
    </row>
    <row r="130" spans="1:7" s="42" customFormat="1" hidden="1">
      <c r="A130" s="24"/>
      <c r="B130" s="25"/>
      <c r="C130" s="421"/>
      <c r="D130" s="41"/>
      <c r="E130" s="156"/>
      <c r="F130" s="196"/>
      <c r="G130" s="198"/>
    </row>
    <row r="131" spans="1:7" s="42" customFormat="1" hidden="1">
      <c r="A131" s="24"/>
      <c r="B131" s="25"/>
      <c r="C131" s="421"/>
      <c r="D131" s="41"/>
      <c r="E131" s="156"/>
      <c r="F131" s="196"/>
      <c r="G131" s="198"/>
    </row>
    <row r="132" spans="1:7" s="42" customFormat="1" hidden="1">
      <c r="A132" s="24"/>
      <c r="B132" s="25"/>
      <c r="C132" s="421"/>
      <c r="D132" s="41"/>
      <c r="E132" s="156"/>
      <c r="F132" s="196"/>
      <c r="G132" s="198"/>
    </row>
    <row r="133" spans="1:7" s="42" customFormat="1" hidden="1">
      <c r="A133" s="24"/>
      <c r="B133" s="25"/>
      <c r="C133" s="421"/>
      <c r="D133" s="41"/>
      <c r="E133" s="156"/>
      <c r="F133" s="196"/>
      <c r="G133" s="198"/>
    </row>
    <row r="134" spans="1:7" s="42" customFormat="1" hidden="1">
      <c r="A134" s="24"/>
      <c r="B134" s="25"/>
      <c r="C134" s="421"/>
      <c r="D134" s="41"/>
      <c r="E134" s="156"/>
      <c r="F134" s="196"/>
      <c r="G134" s="198"/>
    </row>
    <row r="135" spans="1:7" s="42" customFormat="1" hidden="1">
      <c r="A135" s="24"/>
      <c r="B135" s="25"/>
      <c r="C135" s="421"/>
      <c r="D135" s="41"/>
      <c r="E135" s="156"/>
      <c r="F135" s="196"/>
      <c r="G135" s="198"/>
    </row>
    <row r="136" spans="1:7" s="42" customFormat="1" hidden="1">
      <c r="A136" s="24"/>
      <c r="B136" s="25"/>
      <c r="C136" s="421"/>
      <c r="D136" s="41"/>
      <c r="E136" s="156"/>
      <c r="F136" s="196"/>
      <c r="G136" s="198"/>
    </row>
    <row r="137" spans="1:7" s="42" customFormat="1" hidden="1">
      <c r="A137" s="24"/>
      <c r="B137" s="25"/>
      <c r="C137" s="421"/>
      <c r="D137" s="41"/>
      <c r="E137" s="156"/>
      <c r="F137" s="196"/>
      <c r="G137" s="198"/>
    </row>
    <row r="138" spans="1:7" s="42" customFormat="1" hidden="1">
      <c r="A138" s="24"/>
      <c r="B138" s="25"/>
      <c r="C138" s="421"/>
      <c r="D138" s="41"/>
      <c r="E138" s="156"/>
      <c r="F138" s="196"/>
      <c r="G138" s="198"/>
    </row>
    <row r="139" spans="1:7" s="42" customFormat="1" hidden="1">
      <c r="A139" s="24"/>
      <c r="B139" s="25"/>
      <c r="C139" s="421"/>
      <c r="D139" s="41"/>
      <c r="E139" s="156"/>
      <c r="F139" s="196"/>
      <c r="G139" s="198"/>
    </row>
    <row r="140" spans="1:7" s="42" customFormat="1" hidden="1">
      <c r="A140" s="24"/>
      <c r="B140" s="25"/>
      <c r="C140" s="421"/>
      <c r="D140" s="41"/>
      <c r="E140" s="156"/>
      <c r="F140" s="196"/>
      <c r="G140" s="198"/>
    </row>
    <row r="141" spans="1:7" s="42" customFormat="1" hidden="1">
      <c r="A141" s="24"/>
      <c r="B141" s="25"/>
      <c r="C141" s="421"/>
      <c r="D141" s="41"/>
      <c r="E141" s="156"/>
      <c r="F141" s="196"/>
      <c r="G141" s="198"/>
    </row>
    <row r="142" spans="1:7" s="42" customFormat="1" hidden="1">
      <c r="A142" s="24"/>
      <c r="B142" s="25"/>
      <c r="C142" s="421"/>
      <c r="D142" s="41"/>
      <c r="E142" s="156"/>
      <c r="F142" s="196"/>
      <c r="G142" s="198"/>
    </row>
    <row r="143" spans="1:7" s="42" customFormat="1" hidden="1">
      <c r="A143" s="24"/>
      <c r="B143" s="25"/>
      <c r="C143" s="421"/>
      <c r="D143" s="41"/>
      <c r="E143" s="156"/>
      <c r="F143" s="196"/>
      <c r="G143" s="198"/>
    </row>
    <row r="144" spans="1:7" s="42" customFormat="1" hidden="1">
      <c r="A144" s="24"/>
      <c r="B144" s="25"/>
      <c r="C144" s="421"/>
      <c r="D144" s="41"/>
      <c r="E144" s="156"/>
      <c r="F144" s="196"/>
      <c r="G144" s="198"/>
    </row>
    <row r="145" spans="1:7" s="42" customFormat="1" hidden="1">
      <c r="A145" s="24"/>
      <c r="B145" s="25"/>
      <c r="C145" s="421"/>
      <c r="D145" s="41"/>
      <c r="E145" s="156"/>
      <c r="F145" s="196"/>
      <c r="G145" s="198"/>
    </row>
    <row r="146" spans="1:7" s="42" customFormat="1" hidden="1">
      <c r="A146" s="24"/>
      <c r="B146" s="25"/>
      <c r="C146" s="421"/>
      <c r="D146" s="41"/>
      <c r="E146" s="156"/>
      <c r="F146" s="196"/>
      <c r="G146" s="198"/>
    </row>
    <row r="147" spans="1:7" s="42" customFormat="1" hidden="1">
      <c r="A147" s="24"/>
      <c r="B147" s="25"/>
      <c r="C147" s="421"/>
      <c r="D147" s="41"/>
      <c r="E147" s="156"/>
      <c r="F147" s="196"/>
      <c r="G147" s="198"/>
    </row>
    <row r="148" spans="1:7" s="42" customFormat="1" hidden="1">
      <c r="A148" s="24"/>
      <c r="B148" s="25"/>
      <c r="C148" s="421"/>
      <c r="D148" s="41"/>
      <c r="E148" s="156"/>
      <c r="F148" s="196"/>
      <c r="G148" s="198"/>
    </row>
    <row r="149" spans="1:7" s="42" customFormat="1" hidden="1">
      <c r="A149" s="24"/>
      <c r="B149" s="25"/>
      <c r="C149" s="421"/>
      <c r="D149" s="41"/>
      <c r="E149" s="156"/>
      <c r="F149" s="196"/>
      <c r="G149" s="198"/>
    </row>
    <row r="150" spans="1:7" s="42" customFormat="1" hidden="1">
      <c r="A150" s="24"/>
      <c r="B150" s="25"/>
      <c r="C150" s="421"/>
      <c r="D150" s="41"/>
      <c r="E150" s="156"/>
      <c r="F150" s="196"/>
      <c r="G150" s="198"/>
    </row>
    <row r="151" spans="1:7" s="42" customFormat="1" hidden="1">
      <c r="A151" s="24"/>
      <c r="B151" s="25"/>
      <c r="C151" s="421"/>
      <c r="D151" s="41"/>
      <c r="E151" s="156"/>
      <c r="F151" s="196"/>
      <c r="G151" s="198"/>
    </row>
    <row r="152" spans="1:7" s="42" customFormat="1" hidden="1">
      <c r="A152" s="24"/>
      <c r="B152" s="25"/>
      <c r="C152" s="421"/>
      <c r="D152" s="41"/>
      <c r="E152" s="156"/>
      <c r="F152" s="196"/>
      <c r="G152" s="198"/>
    </row>
    <row r="153" spans="1:7" s="42" customFormat="1" hidden="1">
      <c r="A153" s="24"/>
      <c r="B153" s="25"/>
      <c r="C153" s="421"/>
      <c r="D153" s="41"/>
      <c r="E153" s="156"/>
      <c r="F153" s="196"/>
      <c r="G153" s="198"/>
    </row>
    <row r="154" spans="1:7" s="42" customFormat="1" hidden="1">
      <c r="A154" s="24"/>
      <c r="B154" s="25"/>
      <c r="C154" s="421"/>
      <c r="D154" s="41"/>
      <c r="E154" s="156"/>
      <c r="F154" s="196"/>
      <c r="G154" s="198"/>
    </row>
    <row r="155" spans="1:7" s="42" customFormat="1" hidden="1">
      <c r="A155" s="24"/>
      <c r="B155" s="25"/>
      <c r="C155" s="421"/>
      <c r="D155" s="41"/>
      <c r="E155" s="156"/>
      <c r="F155" s="196"/>
      <c r="G155" s="198"/>
    </row>
    <row r="156" spans="1:7" s="42" customFormat="1" hidden="1">
      <c r="A156" s="24"/>
      <c r="B156" s="25"/>
      <c r="C156" s="421"/>
      <c r="D156" s="41"/>
      <c r="E156" s="156"/>
      <c r="F156" s="196"/>
      <c r="G156" s="198"/>
    </row>
    <row r="157" spans="1:7" s="42" customFormat="1" hidden="1">
      <c r="A157" s="24"/>
      <c r="B157" s="25"/>
      <c r="C157" s="421"/>
      <c r="D157" s="41"/>
      <c r="E157" s="156"/>
      <c r="F157" s="196"/>
      <c r="G157" s="198"/>
    </row>
    <row r="158" spans="1:7" s="42" customFormat="1" hidden="1">
      <c r="A158" s="24"/>
      <c r="B158" s="25"/>
      <c r="C158" s="421"/>
      <c r="D158" s="41"/>
      <c r="E158" s="156"/>
      <c r="F158" s="196"/>
      <c r="G158" s="198"/>
    </row>
    <row r="159" spans="1:7" s="42" customFormat="1" hidden="1">
      <c r="A159" s="24"/>
      <c r="B159" s="25"/>
      <c r="C159" s="421"/>
      <c r="D159" s="41"/>
      <c r="E159" s="156"/>
      <c r="F159" s="196"/>
      <c r="G159" s="198"/>
    </row>
    <row r="160" spans="1:7" s="42" customFormat="1" hidden="1">
      <c r="A160" s="24"/>
      <c r="B160" s="25"/>
      <c r="C160" s="421"/>
      <c r="D160" s="41"/>
      <c r="E160" s="156"/>
      <c r="F160" s="196"/>
      <c r="G160" s="198"/>
    </row>
    <row r="161" spans="1:7" s="42" customFormat="1" hidden="1">
      <c r="A161" s="24"/>
      <c r="B161" s="25"/>
      <c r="C161" s="421"/>
      <c r="D161" s="41"/>
      <c r="E161" s="156"/>
      <c r="F161" s="196"/>
      <c r="G161" s="198"/>
    </row>
    <row r="162" spans="1:7" s="42" customFormat="1" hidden="1">
      <c r="A162" s="24"/>
      <c r="B162" s="25"/>
      <c r="C162" s="421"/>
      <c r="D162" s="41"/>
      <c r="E162" s="156"/>
      <c r="F162" s="196"/>
      <c r="G162" s="198"/>
    </row>
    <row r="163" spans="1:7" s="42" customFormat="1" hidden="1">
      <c r="A163" s="24"/>
      <c r="B163" s="25"/>
      <c r="C163" s="421"/>
      <c r="D163" s="41"/>
      <c r="E163" s="156"/>
      <c r="F163" s="196"/>
      <c r="G163" s="198"/>
    </row>
    <row r="164" spans="1:7" s="42" customFormat="1" hidden="1">
      <c r="A164" s="24"/>
      <c r="B164" s="25"/>
      <c r="C164" s="421"/>
      <c r="D164" s="41"/>
      <c r="E164" s="156"/>
      <c r="F164" s="196"/>
      <c r="G164" s="198"/>
    </row>
    <row r="165" spans="1:7" s="42" customFormat="1" hidden="1">
      <c r="A165" s="24"/>
      <c r="B165" s="25"/>
      <c r="C165" s="421"/>
      <c r="D165" s="41"/>
      <c r="E165" s="156"/>
      <c r="F165" s="196"/>
      <c r="G165" s="198"/>
    </row>
    <row r="166" spans="1:7" s="42" customFormat="1" hidden="1">
      <c r="A166" s="24"/>
      <c r="B166" s="25"/>
      <c r="C166" s="421"/>
      <c r="D166" s="41"/>
      <c r="E166" s="156"/>
      <c r="F166" s="196"/>
      <c r="G166" s="198"/>
    </row>
    <row r="167" spans="1:7" s="42" customFormat="1" hidden="1">
      <c r="A167" s="24"/>
      <c r="B167" s="25"/>
      <c r="C167" s="421"/>
      <c r="D167" s="41"/>
      <c r="E167" s="156"/>
      <c r="F167" s="196"/>
      <c r="G167" s="198"/>
    </row>
    <row r="168" spans="1:7" s="42" customFormat="1" hidden="1">
      <c r="A168" s="24"/>
      <c r="B168" s="25"/>
      <c r="C168" s="421"/>
      <c r="D168" s="41"/>
      <c r="E168" s="156"/>
      <c r="F168" s="196"/>
      <c r="G168" s="198"/>
    </row>
    <row r="169" spans="1:7" s="42" customFormat="1" hidden="1">
      <c r="A169" s="24"/>
      <c r="B169" s="25"/>
      <c r="C169" s="421"/>
      <c r="D169" s="41"/>
      <c r="E169" s="156"/>
      <c r="F169" s="196"/>
      <c r="G169" s="198"/>
    </row>
    <row r="170" spans="1:7" s="42" customFormat="1" hidden="1">
      <c r="A170" s="24"/>
      <c r="B170" s="25"/>
      <c r="C170" s="421"/>
      <c r="D170" s="41"/>
      <c r="E170" s="156"/>
      <c r="F170" s="196"/>
      <c r="G170" s="198"/>
    </row>
    <row r="171" spans="1:7" s="42" customFormat="1" hidden="1">
      <c r="A171" s="24"/>
      <c r="B171" s="25"/>
      <c r="C171" s="421"/>
      <c r="D171" s="41"/>
      <c r="E171" s="156"/>
      <c r="F171" s="196"/>
      <c r="G171" s="198"/>
    </row>
    <row r="172" spans="1:7" s="42" customFormat="1" hidden="1">
      <c r="A172" s="24"/>
      <c r="B172" s="25"/>
      <c r="C172" s="421"/>
      <c r="D172" s="41"/>
      <c r="E172" s="156"/>
      <c r="F172" s="196"/>
      <c r="G172" s="198"/>
    </row>
    <row r="173" spans="1:7" s="42" customFormat="1" hidden="1">
      <c r="A173" s="24"/>
      <c r="B173" s="25"/>
      <c r="C173" s="421"/>
      <c r="D173" s="41"/>
      <c r="E173" s="156"/>
      <c r="F173" s="196"/>
      <c r="G173" s="198"/>
    </row>
    <row r="174" spans="1:7" s="42" customFormat="1" hidden="1">
      <c r="A174" s="24"/>
      <c r="B174" s="25"/>
      <c r="C174" s="421"/>
      <c r="D174" s="41"/>
      <c r="E174" s="156"/>
      <c r="F174" s="196"/>
      <c r="G174" s="198"/>
    </row>
    <row r="175" spans="1:7" s="42" customFormat="1" hidden="1">
      <c r="A175" s="24"/>
      <c r="B175" s="25"/>
      <c r="C175" s="421"/>
      <c r="D175" s="41"/>
      <c r="E175" s="156"/>
      <c r="F175" s="196"/>
      <c r="G175" s="198"/>
    </row>
    <row r="176" spans="1:7" s="42" customFormat="1" hidden="1">
      <c r="A176" s="24"/>
      <c r="B176" s="25"/>
      <c r="C176" s="421"/>
      <c r="D176" s="41"/>
      <c r="E176" s="156"/>
      <c r="F176" s="196"/>
      <c r="G176" s="198"/>
    </row>
    <row r="177" spans="1:7" s="42" customFormat="1" hidden="1">
      <c r="A177" s="24"/>
      <c r="B177" s="25"/>
      <c r="C177" s="421"/>
      <c r="D177" s="41"/>
      <c r="E177" s="156"/>
      <c r="F177" s="196"/>
      <c r="G177" s="198"/>
    </row>
    <row r="178" spans="1:7" s="42" customFormat="1" hidden="1">
      <c r="A178" s="24"/>
      <c r="B178" s="25"/>
      <c r="C178" s="421"/>
      <c r="D178" s="41"/>
      <c r="E178" s="156"/>
      <c r="F178" s="196"/>
      <c r="G178" s="198"/>
    </row>
    <row r="179" spans="1:7" s="42" customFormat="1" hidden="1">
      <c r="A179" s="24"/>
      <c r="B179" s="25"/>
      <c r="C179" s="421"/>
      <c r="D179" s="41"/>
      <c r="E179" s="156"/>
      <c r="F179" s="196"/>
      <c r="G179" s="198"/>
    </row>
    <row r="180" spans="1:7" s="42" customFormat="1" hidden="1">
      <c r="A180" s="24"/>
      <c r="B180" s="25"/>
      <c r="C180" s="421"/>
      <c r="D180" s="41"/>
      <c r="E180" s="156"/>
      <c r="F180" s="196"/>
      <c r="G180" s="198"/>
    </row>
    <row r="181" spans="1:7" s="42" customFormat="1" hidden="1">
      <c r="A181" s="24"/>
      <c r="B181" s="25"/>
      <c r="C181" s="421"/>
      <c r="D181" s="41"/>
      <c r="E181" s="156"/>
      <c r="F181" s="196"/>
      <c r="G181" s="198"/>
    </row>
    <row r="182" spans="1:7" s="42" customFormat="1" hidden="1">
      <c r="A182" s="24"/>
      <c r="B182" s="25"/>
      <c r="C182" s="421"/>
      <c r="D182" s="41"/>
      <c r="E182" s="156"/>
      <c r="F182" s="196"/>
      <c r="G182" s="198"/>
    </row>
    <row r="183" spans="1:7" s="42" customFormat="1" hidden="1">
      <c r="A183" s="24"/>
      <c r="B183" s="25"/>
      <c r="C183" s="421"/>
      <c r="D183" s="41"/>
      <c r="E183" s="156"/>
      <c r="F183" s="196"/>
      <c r="G183" s="198"/>
    </row>
    <row r="184" spans="1:7" s="42" customFormat="1" hidden="1">
      <c r="A184" s="24"/>
      <c r="B184" s="25"/>
      <c r="C184" s="421"/>
      <c r="D184" s="41"/>
      <c r="E184" s="156"/>
      <c r="F184" s="196"/>
      <c r="G184" s="198"/>
    </row>
    <row r="185" spans="1:7" s="42" customFormat="1" hidden="1">
      <c r="A185" s="24"/>
      <c r="B185" s="25"/>
      <c r="C185" s="421"/>
      <c r="D185" s="41"/>
      <c r="E185" s="156"/>
      <c r="F185" s="196"/>
      <c r="G185" s="198"/>
    </row>
    <row r="186" spans="1:7" s="42" customFormat="1" hidden="1">
      <c r="A186" s="24"/>
      <c r="B186" s="25"/>
      <c r="C186" s="421"/>
      <c r="D186" s="41"/>
      <c r="E186" s="156"/>
      <c r="F186" s="196"/>
      <c r="G186" s="198"/>
    </row>
    <row r="187" spans="1:7" s="42" customFormat="1" hidden="1">
      <c r="A187" s="24"/>
      <c r="B187" s="25"/>
      <c r="C187" s="421"/>
      <c r="D187" s="41"/>
      <c r="E187" s="156"/>
      <c r="F187" s="196"/>
      <c r="G187" s="198"/>
    </row>
    <row r="188" spans="1:7" s="42" customFormat="1" hidden="1">
      <c r="A188" s="24"/>
      <c r="B188" s="25"/>
      <c r="C188" s="421"/>
      <c r="D188" s="41"/>
      <c r="E188" s="156"/>
      <c r="F188" s="196"/>
      <c r="G188" s="198"/>
    </row>
    <row r="189" spans="1:7" s="42" customFormat="1" hidden="1">
      <c r="A189" s="24"/>
      <c r="B189" s="25"/>
      <c r="C189" s="421"/>
      <c r="D189" s="41"/>
      <c r="E189" s="156"/>
      <c r="F189" s="196"/>
      <c r="G189" s="198"/>
    </row>
    <row r="190" spans="1:7" s="42" customFormat="1" hidden="1">
      <c r="A190" s="24"/>
      <c r="B190" s="25"/>
      <c r="C190" s="421"/>
      <c r="D190" s="41"/>
      <c r="E190" s="156"/>
      <c r="F190" s="196"/>
      <c r="G190" s="198"/>
    </row>
    <row r="191" spans="1:7" s="42" customFormat="1" hidden="1">
      <c r="A191" s="24"/>
      <c r="B191" s="25"/>
      <c r="C191" s="421"/>
      <c r="D191" s="41"/>
      <c r="E191" s="156"/>
      <c r="F191" s="196"/>
      <c r="G191" s="198"/>
    </row>
    <row r="192" spans="1:7" s="42" customFormat="1" hidden="1">
      <c r="A192" s="24"/>
      <c r="B192" s="25"/>
      <c r="C192" s="421"/>
      <c r="D192" s="41"/>
      <c r="E192" s="156"/>
      <c r="F192" s="196"/>
      <c r="G192" s="198"/>
    </row>
    <row r="193" spans="1:7" s="42" customFormat="1" hidden="1">
      <c r="A193" s="24"/>
      <c r="B193" s="25"/>
      <c r="C193" s="421"/>
      <c r="D193" s="41"/>
      <c r="E193" s="156"/>
      <c r="F193" s="196"/>
      <c r="G193" s="198"/>
    </row>
    <row r="194" spans="1:7" s="42" customFormat="1" hidden="1">
      <c r="A194" s="24"/>
      <c r="B194" s="25"/>
      <c r="C194" s="421"/>
      <c r="D194" s="41"/>
      <c r="E194" s="156"/>
      <c r="F194" s="196"/>
      <c r="G194" s="198"/>
    </row>
    <row r="195" spans="1:7" s="42" customFormat="1" hidden="1">
      <c r="A195" s="24"/>
      <c r="B195" s="25"/>
      <c r="C195" s="421"/>
      <c r="D195" s="41"/>
      <c r="E195" s="156"/>
      <c r="F195" s="196"/>
      <c r="G195" s="198"/>
    </row>
    <row r="196" spans="1:7" s="42" customFormat="1" hidden="1">
      <c r="A196" s="24"/>
      <c r="B196" s="25"/>
      <c r="C196" s="421"/>
      <c r="D196" s="41"/>
      <c r="E196" s="156"/>
      <c r="F196" s="196"/>
      <c r="G196" s="198"/>
    </row>
    <row r="197" spans="1:7" s="42" customFormat="1" hidden="1">
      <c r="A197" s="24"/>
      <c r="B197" s="25"/>
      <c r="C197" s="421"/>
      <c r="D197" s="41"/>
      <c r="E197" s="156"/>
      <c r="F197" s="196"/>
      <c r="G197" s="198"/>
    </row>
    <row r="198" spans="1:7" s="42" customFormat="1" hidden="1">
      <c r="A198" s="24"/>
      <c r="B198" s="25"/>
      <c r="C198" s="421"/>
      <c r="D198" s="41"/>
      <c r="E198" s="156"/>
      <c r="F198" s="196"/>
      <c r="G198" s="198"/>
    </row>
    <row r="199" spans="1:7" s="42" customFormat="1" hidden="1">
      <c r="A199" s="24"/>
      <c r="B199" s="25"/>
      <c r="C199" s="421"/>
      <c r="D199" s="41"/>
      <c r="E199" s="156"/>
      <c r="F199" s="196"/>
      <c r="G199" s="198"/>
    </row>
    <row r="200" spans="1:7" s="42" customFormat="1" hidden="1">
      <c r="A200" s="24"/>
      <c r="B200" s="25"/>
      <c r="C200" s="421"/>
      <c r="D200" s="41"/>
      <c r="E200" s="156"/>
      <c r="F200" s="196"/>
      <c r="G200" s="198"/>
    </row>
    <row r="201" spans="1:7" s="42" customFormat="1" hidden="1">
      <c r="A201" s="24"/>
      <c r="B201" s="25"/>
      <c r="C201" s="421"/>
      <c r="D201" s="41"/>
      <c r="E201" s="156"/>
      <c r="F201" s="196"/>
      <c r="G201" s="198"/>
    </row>
    <row r="202" spans="1:7" s="42" customFormat="1" hidden="1">
      <c r="A202" s="24"/>
      <c r="B202" s="25"/>
      <c r="C202" s="421"/>
      <c r="D202" s="41"/>
      <c r="E202" s="156"/>
      <c r="F202" s="196"/>
      <c r="G202" s="198"/>
    </row>
    <row r="203" spans="1:7" s="42" customFormat="1" hidden="1">
      <c r="A203" s="24"/>
      <c r="B203" s="25"/>
      <c r="C203" s="421"/>
      <c r="D203" s="41"/>
      <c r="E203" s="156"/>
      <c r="F203" s="196"/>
      <c r="G203" s="198"/>
    </row>
    <row r="204" spans="1:7" s="42" customFormat="1" hidden="1">
      <c r="A204" s="24"/>
      <c r="B204" s="25"/>
      <c r="C204" s="421"/>
      <c r="D204" s="41"/>
      <c r="E204" s="156"/>
      <c r="F204" s="196"/>
      <c r="G204" s="198"/>
    </row>
    <row r="205" spans="1:7" s="42" customFormat="1" hidden="1">
      <c r="A205" s="24"/>
      <c r="B205" s="25"/>
      <c r="C205" s="421"/>
      <c r="D205" s="41"/>
      <c r="E205" s="156"/>
      <c r="F205" s="196"/>
      <c r="G205" s="198"/>
    </row>
    <row r="206" spans="1:7" s="42" customFormat="1" hidden="1">
      <c r="A206" s="24"/>
      <c r="B206" s="25"/>
      <c r="C206" s="421"/>
      <c r="D206" s="41"/>
      <c r="E206" s="156"/>
      <c r="F206" s="196"/>
      <c r="G206" s="198"/>
    </row>
    <row r="207" spans="1:7" s="42" customFormat="1" hidden="1">
      <c r="A207" s="24"/>
      <c r="B207" s="25"/>
      <c r="C207" s="421"/>
      <c r="D207" s="41"/>
      <c r="E207" s="156"/>
      <c r="F207" s="196"/>
      <c r="G207" s="198"/>
    </row>
    <row r="208" spans="1:7" s="42" customFormat="1" hidden="1">
      <c r="A208" s="24"/>
      <c r="B208" s="25"/>
      <c r="C208" s="421"/>
      <c r="D208" s="41"/>
      <c r="E208" s="156"/>
      <c r="F208" s="196"/>
      <c r="G208" s="198"/>
    </row>
    <row r="209" spans="1:7" s="42" customFormat="1" hidden="1">
      <c r="A209" s="24"/>
      <c r="B209" s="25"/>
      <c r="C209" s="421"/>
      <c r="D209" s="41"/>
      <c r="E209" s="156"/>
      <c r="F209" s="196"/>
      <c r="G209" s="198"/>
    </row>
    <row r="210" spans="1:7" s="42" customFormat="1" hidden="1">
      <c r="A210" s="24"/>
      <c r="B210" s="25"/>
      <c r="C210" s="421"/>
      <c r="D210" s="41"/>
      <c r="E210" s="156"/>
      <c r="F210" s="196"/>
      <c r="G210" s="198"/>
    </row>
    <row r="211" spans="1:7" s="42" customFormat="1" hidden="1">
      <c r="A211" s="24"/>
      <c r="B211" s="25"/>
      <c r="C211" s="421"/>
      <c r="D211" s="41"/>
      <c r="E211" s="156"/>
      <c r="F211" s="196"/>
      <c r="G211" s="198"/>
    </row>
    <row r="212" spans="1:7" s="42" customFormat="1" hidden="1">
      <c r="A212" s="24"/>
      <c r="B212" s="25"/>
      <c r="C212" s="421"/>
      <c r="D212" s="41"/>
      <c r="E212" s="156"/>
      <c r="F212" s="196"/>
      <c r="G212" s="198"/>
    </row>
    <row r="213" spans="1:7" s="42" customFormat="1" hidden="1">
      <c r="A213" s="24"/>
      <c r="B213" s="25"/>
      <c r="C213" s="421"/>
      <c r="D213" s="41"/>
      <c r="E213" s="156"/>
      <c r="F213" s="196"/>
      <c r="G213" s="198"/>
    </row>
    <row r="214" spans="1:7" s="42" customFormat="1" hidden="1">
      <c r="A214" s="24"/>
      <c r="B214" s="25"/>
      <c r="C214" s="421"/>
      <c r="D214" s="41"/>
      <c r="E214" s="156"/>
      <c r="F214" s="196"/>
      <c r="G214" s="198"/>
    </row>
    <row r="215" spans="1:7" s="42" customFormat="1" hidden="1">
      <c r="A215" s="24"/>
      <c r="B215" s="25"/>
      <c r="C215" s="421"/>
      <c r="D215" s="41"/>
      <c r="E215" s="156"/>
      <c r="F215" s="196"/>
      <c r="G215" s="198"/>
    </row>
    <row r="216" spans="1:7" s="42" customFormat="1" hidden="1">
      <c r="A216" s="24"/>
      <c r="B216" s="25"/>
      <c r="C216" s="421"/>
      <c r="D216" s="41"/>
      <c r="E216" s="156"/>
      <c r="F216" s="196"/>
      <c r="G216" s="198"/>
    </row>
    <row r="217" spans="1:7" s="42" customFormat="1" hidden="1">
      <c r="A217" s="24"/>
      <c r="B217" s="25"/>
      <c r="C217" s="421"/>
      <c r="D217" s="41"/>
      <c r="E217" s="156"/>
      <c r="F217" s="196"/>
      <c r="G217" s="198"/>
    </row>
    <row r="218" spans="1:7" s="42" customFormat="1" hidden="1">
      <c r="A218" s="24"/>
      <c r="B218" s="25"/>
      <c r="C218" s="421"/>
      <c r="D218" s="41"/>
      <c r="E218" s="156"/>
      <c r="F218" s="196"/>
      <c r="G218" s="198"/>
    </row>
    <row r="219" spans="1:7" s="42" customFormat="1" hidden="1">
      <c r="A219" s="24"/>
      <c r="B219" s="25"/>
      <c r="C219" s="421"/>
      <c r="D219" s="41"/>
      <c r="E219" s="156"/>
      <c r="F219" s="196"/>
      <c r="G219" s="198"/>
    </row>
    <row r="220" spans="1:7" s="42" customFormat="1" hidden="1">
      <c r="A220" s="24"/>
      <c r="B220" s="25"/>
      <c r="C220" s="421"/>
      <c r="D220" s="41"/>
      <c r="E220" s="156"/>
      <c r="F220" s="196"/>
      <c r="G220" s="198"/>
    </row>
    <row r="221" spans="1:7" s="42" customFormat="1" hidden="1">
      <c r="A221" s="24"/>
      <c r="B221" s="25"/>
      <c r="C221" s="421"/>
      <c r="D221" s="41"/>
      <c r="E221" s="156"/>
      <c r="F221" s="196"/>
      <c r="G221" s="198"/>
    </row>
    <row r="222" spans="1:7" s="42" customFormat="1" hidden="1">
      <c r="A222" s="24"/>
      <c r="B222" s="25"/>
      <c r="C222" s="421"/>
      <c r="D222" s="41"/>
      <c r="E222" s="156"/>
      <c r="F222" s="196"/>
      <c r="G222" s="198"/>
    </row>
    <row r="223" spans="1:7" s="42" customFormat="1" hidden="1">
      <c r="A223" s="24"/>
      <c r="B223" s="25"/>
      <c r="C223" s="421"/>
      <c r="D223" s="41"/>
      <c r="E223" s="156"/>
      <c r="F223" s="196"/>
      <c r="G223" s="198"/>
    </row>
    <row r="224" spans="1:7" s="42" customFormat="1" hidden="1">
      <c r="A224" s="24"/>
      <c r="B224" s="25"/>
      <c r="C224" s="421"/>
      <c r="D224" s="41"/>
      <c r="E224" s="156"/>
      <c r="F224" s="196"/>
      <c r="G224" s="198"/>
    </row>
    <row r="225" spans="1:7" s="42" customFormat="1" hidden="1">
      <c r="A225" s="24"/>
      <c r="B225" s="25"/>
      <c r="C225" s="421"/>
      <c r="D225" s="41"/>
      <c r="E225" s="156"/>
      <c r="F225" s="196"/>
      <c r="G225" s="198"/>
    </row>
    <row r="226" spans="1:7" s="42" customFormat="1" hidden="1">
      <c r="A226" s="24"/>
      <c r="B226" s="25"/>
      <c r="C226" s="421"/>
      <c r="D226" s="41"/>
      <c r="E226" s="156"/>
      <c r="F226" s="196"/>
      <c r="G226" s="198"/>
    </row>
    <row r="227" spans="1:7" s="42" customFormat="1" hidden="1">
      <c r="A227" s="24"/>
      <c r="B227" s="25"/>
      <c r="C227" s="421"/>
      <c r="D227" s="41"/>
      <c r="E227" s="156"/>
      <c r="F227" s="196"/>
      <c r="G227" s="198"/>
    </row>
    <row r="228" spans="1:7" s="42" customFormat="1" hidden="1">
      <c r="A228" s="24"/>
      <c r="B228" s="25"/>
      <c r="C228" s="421"/>
      <c r="D228" s="41"/>
      <c r="E228" s="156"/>
      <c r="F228" s="196"/>
      <c r="G228" s="198"/>
    </row>
    <row r="229" spans="1:7" s="42" customFormat="1" hidden="1">
      <c r="A229" s="24"/>
      <c r="B229" s="25"/>
      <c r="C229" s="421"/>
      <c r="D229" s="41"/>
      <c r="E229" s="156"/>
      <c r="F229" s="196"/>
      <c r="G229" s="198"/>
    </row>
    <row r="230" spans="1:7" s="42" customFormat="1" hidden="1">
      <c r="A230" s="24"/>
      <c r="B230" s="25"/>
      <c r="C230" s="421"/>
      <c r="D230" s="41"/>
      <c r="E230" s="156"/>
      <c r="F230" s="196"/>
      <c r="G230" s="198"/>
    </row>
    <row r="231" spans="1:7" s="42" customFormat="1" hidden="1">
      <c r="A231" s="24"/>
      <c r="B231" s="25"/>
      <c r="C231" s="421"/>
      <c r="D231" s="41"/>
      <c r="E231" s="156"/>
      <c r="F231" s="196"/>
      <c r="G231" s="198"/>
    </row>
    <row r="232" spans="1:7" s="42" customFormat="1" hidden="1">
      <c r="A232" s="24"/>
      <c r="B232" s="25"/>
      <c r="C232" s="421"/>
      <c r="D232" s="41"/>
      <c r="E232" s="156"/>
      <c r="F232" s="196"/>
      <c r="G232" s="198"/>
    </row>
    <row r="233" spans="1:7" s="42" customFormat="1" hidden="1">
      <c r="A233" s="24"/>
      <c r="B233" s="25"/>
      <c r="C233" s="421"/>
      <c r="D233" s="41"/>
      <c r="E233" s="156"/>
      <c r="F233" s="196"/>
      <c r="G233" s="198"/>
    </row>
    <row r="234" spans="1:7" s="42" customFormat="1" hidden="1">
      <c r="A234" s="24"/>
      <c r="B234" s="25"/>
      <c r="C234" s="421"/>
      <c r="D234" s="41"/>
      <c r="E234" s="156"/>
      <c r="F234" s="196"/>
      <c r="G234" s="198"/>
    </row>
    <row r="235" spans="1:7" s="42" customFormat="1" hidden="1">
      <c r="A235" s="24"/>
      <c r="B235" s="25"/>
      <c r="C235" s="421"/>
      <c r="D235" s="41"/>
      <c r="E235" s="156"/>
      <c r="F235" s="196"/>
      <c r="G235" s="198"/>
    </row>
    <row r="236" spans="1:7" s="42" customFormat="1" hidden="1">
      <c r="A236" s="24"/>
      <c r="B236" s="25"/>
      <c r="C236" s="421"/>
      <c r="D236" s="41"/>
      <c r="E236" s="156"/>
      <c r="F236" s="196"/>
      <c r="G236" s="198"/>
    </row>
    <row r="237" spans="1:7" s="42" customFormat="1" hidden="1">
      <c r="A237" s="24"/>
      <c r="B237" s="25"/>
      <c r="C237" s="421"/>
      <c r="D237" s="41"/>
      <c r="E237" s="156"/>
      <c r="F237" s="196"/>
      <c r="G237" s="198"/>
    </row>
    <row r="238" spans="1:7" s="42" customFormat="1" hidden="1">
      <c r="A238" s="24"/>
      <c r="B238" s="25"/>
      <c r="C238" s="421"/>
      <c r="D238" s="41"/>
      <c r="E238" s="156"/>
      <c r="F238" s="196"/>
      <c r="G238" s="198"/>
    </row>
    <row r="239" spans="1:7" s="42" customFormat="1" hidden="1">
      <c r="A239" s="24"/>
      <c r="B239" s="25"/>
      <c r="C239" s="421"/>
      <c r="D239" s="41"/>
      <c r="E239" s="156"/>
      <c r="F239" s="196"/>
      <c r="G239" s="198"/>
    </row>
    <row r="240" spans="1:7" s="42" customFormat="1" hidden="1">
      <c r="A240" s="24"/>
      <c r="B240" s="25"/>
      <c r="C240" s="421"/>
      <c r="D240" s="41"/>
      <c r="E240" s="156"/>
      <c r="F240" s="196"/>
      <c r="G240" s="198"/>
    </row>
    <row r="241" spans="1:7" s="42" customFormat="1" hidden="1">
      <c r="A241" s="24"/>
      <c r="B241" s="25"/>
      <c r="C241" s="421"/>
      <c r="D241" s="41"/>
      <c r="E241" s="156"/>
      <c r="F241" s="196"/>
      <c r="G241" s="198"/>
    </row>
    <row r="242" spans="1:7" s="42" customFormat="1" hidden="1">
      <c r="A242" s="24"/>
      <c r="B242" s="25"/>
      <c r="C242" s="421"/>
      <c r="D242" s="41"/>
      <c r="E242" s="156"/>
      <c r="F242" s="196"/>
      <c r="G242" s="198"/>
    </row>
    <row r="243" spans="1:7" s="42" customFormat="1" hidden="1">
      <c r="A243" s="24"/>
      <c r="B243" s="25"/>
      <c r="C243" s="421"/>
      <c r="D243" s="41"/>
      <c r="E243" s="156"/>
      <c r="F243" s="196"/>
      <c r="G243" s="198"/>
    </row>
    <row r="244" spans="1:7" s="42" customFormat="1" hidden="1">
      <c r="A244" s="24"/>
      <c r="B244" s="25"/>
      <c r="C244" s="421"/>
      <c r="D244" s="41"/>
      <c r="E244" s="156"/>
      <c r="F244" s="196"/>
      <c r="G244" s="198"/>
    </row>
    <row r="245" spans="1:7" s="42" customFormat="1" hidden="1">
      <c r="A245" s="24"/>
      <c r="B245" s="25"/>
      <c r="C245" s="421"/>
      <c r="D245" s="41"/>
      <c r="E245" s="156"/>
      <c r="F245" s="196"/>
      <c r="G245" s="198"/>
    </row>
    <row r="246" spans="1:7" s="42" customFormat="1" hidden="1">
      <c r="A246" s="24"/>
      <c r="B246" s="25"/>
      <c r="C246" s="421"/>
      <c r="D246" s="41"/>
      <c r="E246" s="156"/>
      <c r="F246" s="196"/>
      <c r="G246" s="198"/>
    </row>
    <row r="247" spans="1:7" s="42" customFormat="1" hidden="1">
      <c r="A247" s="24"/>
      <c r="B247" s="25"/>
      <c r="C247" s="421"/>
      <c r="D247" s="41"/>
      <c r="E247" s="156"/>
      <c r="F247" s="196"/>
      <c r="G247" s="198"/>
    </row>
    <row r="248" spans="1:7" s="42" customFormat="1" hidden="1">
      <c r="A248" s="24"/>
      <c r="B248" s="25"/>
      <c r="C248" s="421"/>
      <c r="D248" s="41"/>
      <c r="E248" s="156"/>
      <c r="F248" s="196"/>
      <c r="G248" s="198"/>
    </row>
    <row r="249" spans="1:7" s="42" customFormat="1" hidden="1">
      <c r="A249" s="24"/>
      <c r="B249" s="25"/>
      <c r="C249" s="421"/>
      <c r="D249" s="41"/>
      <c r="E249" s="156"/>
      <c r="F249" s="196"/>
      <c r="G249" s="198"/>
    </row>
    <row r="250" spans="1:7" s="42" customFormat="1" hidden="1">
      <c r="A250" s="24"/>
      <c r="B250" s="25"/>
      <c r="C250" s="421"/>
      <c r="D250" s="41"/>
      <c r="E250" s="156"/>
      <c r="F250" s="196"/>
      <c r="G250" s="198"/>
    </row>
    <row r="251" spans="1:7" s="42" customFormat="1" hidden="1">
      <c r="A251" s="24"/>
      <c r="B251" s="25"/>
      <c r="C251" s="421"/>
      <c r="D251" s="41"/>
      <c r="E251" s="156"/>
      <c r="F251" s="196"/>
      <c r="G251" s="198"/>
    </row>
    <row r="252" spans="1:7" s="42" customFormat="1" hidden="1">
      <c r="A252" s="24"/>
      <c r="B252" s="25"/>
      <c r="C252" s="421"/>
      <c r="D252" s="41"/>
      <c r="E252" s="156"/>
      <c r="F252" s="196"/>
      <c r="G252" s="198"/>
    </row>
    <row r="253" spans="1:7" s="42" customFormat="1" hidden="1">
      <c r="A253" s="24"/>
      <c r="B253" s="25"/>
      <c r="C253" s="421"/>
      <c r="D253" s="41"/>
      <c r="E253" s="156"/>
      <c r="F253" s="196"/>
      <c r="G253" s="198"/>
    </row>
    <row r="254" spans="1:7" s="42" customFormat="1" hidden="1">
      <c r="A254" s="24"/>
      <c r="B254" s="25"/>
      <c r="C254" s="421"/>
      <c r="D254" s="41"/>
      <c r="E254" s="156"/>
      <c r="F254" s="196"/>
      <c r="G254" s="198"/>
    </row>
    <row r="255" spans="1:7" s="42" customFormat="1" hidden="1">
      <c r="A255" s="24"/>
      <c r="B255" s="25"/>
      <c r="C255" s="421"/>
      <c r="D255" s="41"/>
      <c r="E255" s="156"/>
      <c r="F255" s="196"/>
      <c r="G255" s="198"/>
    </row>
    <row r="256" spans="1:7" s="42" customFormat="1" hidden="1">
      <c r="A256" s="24"/>
      <c r="B256" s="25"/>
      <c r="C256" s="421"/>
      <c r="D256" s="41"/>
      <c r="E256" s="156"/>
      <c r="F256" s="196"/>
      <c r="G256" s="198"/>
    </row>
    <row r="257" spans="1:7" s="42" customFormat="1" hidden="1">
      <c r="A257" s="24"/>
      <c r="B257" s="25"/>
      <c r="C257" s="421"/>
      <c r="D257" s="41"/>
      <c r="E257" s="156"/>
      <c r="F257" s="196"/>
      <c r="G257" s="198"/>
    </row>
    <row r="258" spans="1:7" s="42" customFormat="1" hidden="1">
      <c r="A258" s="24"/>
      <c r="B258" s="25"/>
      <c r="C258" s="421"/>
      <c r="D258" s="41"/>
      <c r="E258" s="156"/>
      <c r="F258" s="196"/>
      <c r="G258" s="198"/>
    </row>
    <row r="259" spans="1:7" s="42" customFormat="1" hidden="1">
      <c r="A259" s="24"/>
      <c r="B259" s="25"/>
      <c r="C259" s="421"/>
      <c r="D259" s="41"/>
      <c r="E259" s="156"/>
      <c r="F259" s="196"/>
      <c r="G259" s="198"/>
    </row>
    <row r="260" spans="1:7" s="42" customFormat="1" hidden="1">
      <c r="A260" s="24"/>
      <c r="B260" s="25"/>
      <c r="C260" s="421"/>
      <c r="D260" s="41"/>
      <c r="E260" s="156"/>
      <c r="F260" s="196"/>
      <c r="G260" s="198"/>
    </row>
    <row r="261" spans="1:7" s="42" customFormat="1" hidden="1">
      <c r="A261" s="24"/>
      <c r="B261" s="25"/>
      <c r="C261" s="421"/>
      <c r="D261" s="41"/>
      <c r="E261" s="156"/>
      <c r="F261" s="196"/>
      <c r="G261" s="198"/>
    </row>
    <row r="262" spans="1:7" s="42" customFormat="1" hidden="1">
      <c r="A262" s="24"/>
      <c r="B262" s="25"/>
      <c r="C262" s="421"/>
      <c r="D262" s="41"/>
      <c r="E262" s="156"/>
      <c r="F262" s="196"/>
      <c r="G262" s="198"/>
    </row>
    <row r="263" spans="1:7" s="42" customFormat="1" hidden="1">
      <c r="A263" s="24"/>
      <c r="B263" s="25"/>
      <c r="C263" s="421"/>
      <c r="D263" s="41"/>
      <c r="E263" s="156"/>
      <c r="F263" s="196"/>
      <c r="G263" s="198"/>
    </row>
    <row r="264" spans="1:7" s="42" customFormat="1" hidden="1">
      <c r="A264" s="24"/>
      <c r="B264" s="25"/>
      <c r="C264" s="421"/>
      <c r="D264" s="41"/>
      <c r="E264" s="156"/>
      <c r="F264" s="196"/>
      <c r="G264" s="198"/>
    </row>
    <row r="265" spans="1:7" s="42" customFormat="1" hidden="1">
      <c r="A265" s="24"/>
      <c r="B265" s="25"/>
      <c r="C265" s="421"/>
      <c r="D265" s="41"/>
      <c r="E265" s="156"/>
      <c r="F265" s="196"/>
      <c r="G265" s="198"/>
    </row>
    <row r="266" spans="1:7" s="42" customFormat="1" hidden="1">
      <c r="A266" s="24"/>
      <c r="B266" s="25"/>
      <c r="C266" s="421"/>
      <c r="D266" s="41"/>
      <c r="E266" s="156"/>
      <c r="F266" s="196"/>
      <c r="G266" s="198"/>
    </row>
    <row r="267" spans="1:7" s="42" customFormat="1" hidden="1">
      <c r="A267" s="24"/>
      <c r="B267" s="25"/>
      <c r="C267" s="421"/>
      <c r="D267" s="41"/>
      <c r="E267" s="156"/>
      <c r="F267" s="196"/>
      <c r="G267" s="198"/>
    </row>
    <row r="268" spans="1:7" s="42" customFormat="1" hidden="1">
      <c r="A268" s="24"/>
      <c r="B268" s="25"/>
      <c r="C268" s="421"/>
      <c r="D268" s="41"/>
      <c r="E268" s="156"/>
      <c r="F268" s="196"/>
      <c r="G268" s="198"/>
    </row>
    <row r="269" spans="1:7" s="42" customFormat="1" hidden="1">
      <c r="A269" s="24"/>
      <c r="B269" s="25"/>
      <c r="C269" s="421"/>
      <c r="D269" s="41"/>
      <c r="E269" s="156"/>
      <c r="F269" s="196"/>
      <c r="G269" s="198"/>
    </row>
    <row r="270" spans="1:7" s="42" customFormat="1" hidden="1">
      <c r="A270" s="24"/>
      <c r="B270" s="25"/>
      <c r="C270" s="421"/>
      <c r="D270" s="41"/>
      <c r="E270" s="156"/>
      <c r="F270" s="196"/>
      <c r="G270" s="198"/>
    </row>
    <row r="271" spans="1:7" s="42" customFormat="1" hidden="1">
      <c r="A271" s="24"/>
      <c r="B271" s="25"/>
      <c r="C271" s="421"/>
      <c r="D271" s="41"/>
      <c r="E271" s="156"/>
      <c r="F271" s="196"/>
      <c r="G271" s="198"/>
    </row>
    <row r="272" spans="1:7" s="42" customFormat="1" hidden="1">
      <c r="A272" s="24"/>
      <c r="B272" s="25"/>
      <c r="C272" s="421"/>
      <c r="D272" s="41"/>
      <c r="E272" s="156"/>
      <c r="F272" s="196"/>
      <c r="G272" s="198"/>
    </row>
    <row r="273" spans="1:7" s="42" customFormat="1" hidden="1">
      <c r="A273" s="24"/>
      <c r="B273" s="25"/>
      <c r="C273" s="421"/>
      <c r="D273" s="41"/>
      <c r="E273" s="156"/>
      <c r="F273" s="196"/>
      <c r="G273" s="198"/>
    </row>
    <row r="274" spans="1:7" s="42" customFormat="1" hidden="1">
      <c r="A274" s="24"/>
      <c r="B274" s="25"/>
      <c r="C274" s="421"/>
      <c r="D274" s="41"/>
      <c r="E274" s="156"/>
      <c r="F274" s="196"/>
      <c r="G274" s="198"/>
    </row>
    <row r="275" spans="1:7" s="42" customFormat="1" hidden="1">
      <c r="A275" s="24"/>
      <c r="B275" s="25"/>
      <c r="C275" s="421"/>
      <c r="D275" s="41"/>
      <c r="E275" s="156"/>
      <c r="F275" s="196"/>
      <c r="G275" s="198"/>
    </row>
    <row r="276" spans="1:7" s="42" customFormat="1" hidden="1">
      <c r="A276" s="24"/>
      <c r="B276" s="25"/>
      <c r="C276" s="421"/>
      <c r="D276" s="41"/>
      <c r="E276" s="156"/>
      <c r="F276" s="196"/>
      <c r="G276" s="198"/>
    </row>
    <row r="277" spans="1:7" s="42" customFormat="1" hidden="1">
      <c r="A277" s="24"/>
      <c r="B277" s="25"/>
      <c r="C277" s="421"/>
      <c r="D277" s="41"/>
      <c r="E277" s="156"/>
      <c r="F277" s="196"/>
      <c r="G277" s="198"/>
    </row>
    <row r="278" spans="1:7" s="42" customFormat="1" hidden="1">
      <c r="A278" s="24"/>
      <c r="B278" s="25"/>
      <c r="C278" s="421"/>
      <c r="D278" s="41"/>
      <c r="E278" s="156"/>
      <c r="F278" s="196"/>
      <c r="G278" s="198"/>
    </row>
    <row r="279" spans="1:7" s="42" customFormat="1" hidden="1">
      <c r="A279" s="24"/>
      <c r="B279" s="25"/>
      <c r="C279" s="421"/>
      <c r="D279" s="41"/>
      <c r="E279" s="156"/>
      <c r="F279" s="196"/>
      <c r="G279" s="198"/>
    </row>
    <row r="280" spans="1:7" s="42" customFormat="1" hidden="1">
      <c r="A280" s="24"/>
      <c r="B280" s="25"/>
      <c r="C280" s="421"/>
      <c r="D280" s="41"/>
      <c r="E280" s="156"/>
      <c r="F280" s="196"/>
      <c r="G280" s="198"/>
    </row>
    <row r="281" spans="1:7" s="42" customFormat="1" hidden="1">
      <c r="A281" s="24"/>
      <c r="B281" s="25"/>
      <c r="C281" s="421"/>
      <c r="D281" s="41"/>
      <c r="E281" s="156"/>
      <c r="F281" s="196"/>
      <c r="G281" s="198"/>
    </row>
    <row r="282" spans="1:7" s="42" customFormat="1" hidden="1">
      <c r="A282" s="24"/>
      <c r="B282" s="25"/>
      <c r="C282" s="421"/>
      <c r="D282" s="41"/>
      <c r="E282" s="156"/>
      <c r="F282" s="196"/>
      <c r="G282" s="198"/>
    </row>
    <row r="283" spans="1:7" s="42" customFormat="1" hidden="1">
      <c r="A283" s="24"/>
      <c r="B283" s="25"/>
      <c r="C283" s="421"/>
      <c r="D283" s="41"/>
      <c r="E283" s="156"/>
      <c r="F283" s="196"/>
      <c r="G283" s="198"/>
    </row>
    <row r="284" spans="1:7" s="42" customFormat="1" hidden="1">
      <c r="A284" s="24"/>
      <c r="B284" s="25"/>
      <c r="C284" s="421"/>
      <c r="D284" s="41"/>
      <c r="E284" s="156"/>
      <c r="F284" s="196"/>
      <c r="G284" s="198"/>
    </row>
    <row r="285" spans="1:7" s="42" customFormat="1" hidden="1">
      <c r="A285" s="24"/>
      <c r="B285" s="25"/>
      <c r="C285" s="421"/>
      <c r="D285" s="41"/>
      <c r="E285" s="156"/>
      <c r="F285" s="196"/>
      <c r="G285" s="198"/>
    </row>
    <row r="286" spans="1:7" s="42" customFormat="1" hidden="1">
      <c r="A286" s="24"/>
      <c r="B286" s="25"/>
      <c r="C286" s="421"/>
      <c r="D286" s="41"/>
      <c r="E286" s="156"/>
      <c r="F286" s="196"/>
      <c r="G286" s="198"/>
    </row>
    <row r="287" spans="1:7" s="42" customFormat="1" hidden="1">
      <c r="A287" s="24"/>
      <c r="B287" s="25"/>
      <c r="C287" s="421"/>
      <c r="D287" s="41"/>
      <c r="E287" s="156"/>
      <c r="F287" s="196"/>
      <c r="G287" s="198"/>
    </row>
    <row r="288" spans="1:7" s="42" customFormat="1" hidden="1">
      <c r="A288" s="24"/>
      <c r="B288" s="25"/>
      <c r="C288" s="421"/>
      <c r="D288" s="41"/>
      <c r="E288" s="156"/>
      <c r="F288" s="196"/>
      <c r="G288" s="198"/>
    </row>
    <row r="289" spans="1:7" s="42" customFormat="1" hidden="1">
      <c r="A289" s="24"/>
      <c r="B289" s="25"/>
      <c r="C289" s="421"/>
      <c r="D289" s="41"/>
      <c r="E289" s="156"/>
      <c r="F289" s="196"/>
      <c r="G289" s="198"/>
    </row>
    <row r="290" spans="1:7" s="42" customFormat="1" hidden="1">
      <c r="A290" s="24"/>
      <c r="B290" s="25"/>
      <c r="C290" s="421"/>
      <c r="D290" s="41"/>
      <c r="E290" s="156"/>
      <c r="F290" s="196"/>
      <c r="G290" s="198"/>
    </row>
    <row r="291" spans="1:7" s="42" customFormat="1" hidden="1">
      <c r="A291" s="24"/>
      <c r="B291" s="25"/>
      <c r="C291" s="421"/>
      <c r="D291" s="41"/>
      <c r="E291" s="156"/>
      <c r="F291" s="196"/>
      <c r="G291" s="198"/>
    </row>
    <row r="292" spans="1:7" s="42" customFormat="1" hidden="1">
      <c r="A292" s="24"/>
      <c r="B292" s="25"/>
      <c r="C292" s="421"/>
      <c r="D292" s="41"/>
      <c r="E292" s="156"/>
      <c r="F292" s="196"/>
      <c r="G292" s="198"/>
    </row>
    <row r="293" spans="1:7" s="42" customFormat="1" hidden="1">
      <c r="A293" s="24"/>
      <c r="B293" s="25"/>
      <c r="C293" s="421"/>
      <c r="D293" s="41"/>
      <c r="E293" s="156"/>
      <c r="F293" s="196"/>
      <c r="G293" s="198"/>
    </row>
    <row r="294" spans="1:7" s="42" customFormat="1" hidden="1">
      <c r="A294" s="24"/>
      <c r="B294" s="25"/>
      <c r="C294" s="421"/>
      <c r="D294" s="41"/>
      <c r="E294" s="156"/>
      <c r="F294" s="196"/>
      <c r="G294" s="198"/>
    </row>
    <row r="295" spans="1:7" s="42" customFormat="1" hidden="1">
      <c r="A295" s="24"/>
      <c r="B295" s="25"/>
      <c r="C295" s="421"/>
      <c r="D295" s="41"/>
      <c r="E295" s="156"/>
      <c r="F295" s="196"/>
      <c r="G295" s="198"/>
    </row>
    <row r="296" spans="1:7" s="42" customFormat="1" hidden="1">
      <c r="A296" s="24"/>
      <c r="B296" s="25"/>
      <c r="C296" s="421"/>
      <c r="D296" s="41"/>
      <c r="E296" s="156"/>
      <c r="F296" s="196"/>
      <c r="G296" s="198"/>
    </row>
    <row r="297" spans="1:7" s="42" customFormat="1" hidden="1">
      <c r="A297" s="24"/>
      <c r="B297" s="25"/>
      <c r="C297" s="421"/>
      <c r="D297" s="41"/>
      <c r="E297" s="156"/>
      <c r="F297" s="196"/>
      <c r="G297" s="198"/>
    </row>
    <row r="298" spans="1:7" s="42" customFormat="1" hidden="1">
      <c r="A298" s="24"/>
      <c r="B298" s="25"/>
      <c r="C298" s="421"/>
      <c r="D298" s="41"/>
      <c r="E298" s="156"/>
      <c r="F298" s="196"/>
      <c r="G298" s="198"/>
    </row>
    <row r="299" spans="1:7" s="42" customFormat="1" hidden="1">
      <c r="A299" s="24"/>
      <c r="B299" s="25"/>
      <c r="C299" s="421"/>
      <c r="D299" s="41"/>
      <c r="E299" s="156"/>
      <c r="F299" s="196"/>
      <c r="G299" s="198"/>
    </row>
    <row r="300" spans="1:7" s="42" customFormat="1" hidden="1">
      <c r="A300" s="24"/>
      <c r="B300" s="25"/>
      <c r="C300" s="421"/>
      <c r="D300" s="41"/>
      <c r="E300" s="156"/>
      <c r="F300" s="196"/>
      <c r="G300" s="198"/>
    </row>
    <row r="301" spans="1:7" s="42" customFormat="1" hidden="1">
      <c r="A301" s="24"/>
      <c r="B301" s="25"/>
      <c r="C301" s="421"/>
      <c r="D301" s="41"/>
      <c r="E301" s="156"/>
      <c r="F301" s="196"/>
      <c r="G301" s="198"/>
    </row>
    <row r="302" spans="1:7" s="42" customFormat="1" hidden="1">
      <c r="A302" s="24"/>
      <c r="B302" s="25"/>
      <c r="C302" s="421"/>
      <c r="D302" s="41"/>
      <c r="E302" s="156"/>
      <c r="F302" s="196"/>
      <c r="G302" s="198"/>
    </row>
    <row r="303" spans="1:7" s="42" customFormat="1" hidden="1">
      <c r="A303" s="24"/>
      <c r="B303" s="25"/>
      <c r="C303" s="421"/>
      <c r="D303" s="41"/>
      <c r="E303" s="156"/>
      <c r="F303" s="196"/>
      <c r="G303" s="198"/>
    </row>
    <row r="304" spans="1:7" s="42" customFormat="1" hidden="1">
      <c r="A304" s="24"/>
      <c r="B304" s="25"/>
      <c r="C304" s="421"/>
      <c r="D304" s="41"/>
      <c r="E304" s="156"/>
      <c r="F304" s="196"/>
      <c r="G304" s="198"/>
    </row>
    <row r="305" spans="1:7" s="42" customFormat="1" hidden="1">
      <c r="A305" s="24"/>
      <c r="B305" s="25"/>
      <c r="C305" s="421"/>
      <c r="D305" s="41"/>
      <c r="E305" s="156"/>
      <c r="F305" s="196"/>
      <c r="G305" s="198"/>
    </row>
    <row r="306" spans="1:7" s="42" customFormat="1" hidden="1">
      <c r="A306" s="24"/>
      <c r="B306" s="25"/>
      <c r="C306" s="421"/>
      <c r="D306" s="41"/>
      <c r="E306" s="156"/>
      <c r="F306" s="196"/>
      <c r="G306" s="198"/>
    </row>
    <row r="307" spans="1:7" s="42" customFormat="1" hidden="1">
      <c r="A307" s="24"/>
      <c r="B307" s="25"/>
      <c r="C307" s="421"/>
      <c r="D307" s="41"/>
      <c r="E307" s="156"/>
      <c r="F307" s="196"/>
      <c r="G307" s="198"/>
    </row>
    <row r="308" spans="1:7" s="42" customFormat="1" hidden="1">
      <c r="A308" s="24"/>
      <c r="B308" s="25"/>
      <c r="C308" s="421"/>
      <c r="D308" s="41"/>
      <c r="E308" s="156"/>
      <c r="F308" s="196"/>
      <c r="G308" s="198"/>
    </row>
    <row r="309" spans="1:7" s="42" customFormat="1" hidden="1">
      <c r="A309" s="24"/>
      <c r="B309" s="25"/>
      <c r="C309" s="421"/>
      <c r="D309" s="41"/>
      <c r="E309" s="156"/>
      <c r="F309" s="196"/>
      <c r="G309" s="198"/>
    </row>
    <row r="310" spans="1:7" s="42" customFormat="1" hidden="1">
      <c r="A310" s="24"/>
      <c r="B310" s="25"/>
      <c r="C310" s="421"/>
      <c r="D310" s="41"/>
      <c r="E310" s="156"/>
      <c r="F310" s="196"/>
      <c r="G310" s="198"/>
    </row>
    <row r="311" spans="1:7" s="42" customFormat="1" hidden="1">
      <c r="A311" s="24"/>
      <c r="B311" s="25"/>
      <c r="C311" s="421"/>
      <c r="D311" s="41"/>
      <c r="E311" s="156"/>
      <c r="F311" s="196"/>
      <c r="G311" s="198"/>
    </row>
    <row r="312" spans="1:7" s="42" customFormat="1" hidden="1">
      <c r="A312" s="24"/>
      <c r="B312" s="25"/>
      <c r="C312" s="421"/>
      <c r="D312" s="41"/>
      <c r="E312" s="156"/>
      <c r="F312" s="196"/>
      <c r="G312" s="198"/>
    </row>
    <row r="313" spans="1:7" s="42" customFormat="1" hidden="1">
      <c r="A313" s="24"/>
      <c r="B313" s="25"/>
      <c r="C313" s="421"/>
      <c r="D313" s="41"/>
      <c r="E313" s="156"/>
      <c r="F313" s="196"/>
      <c r="G313" s="198"/>
    </row>
    <row r="314" spans="1:7" s="42" customFormat="1" hidden="1">
      <c r="A314" s="24"/>
      <c r="B314" s="25"/>
      <c r="C314" s="421"/>
      <c r="D314" s="41"/>
      <c r="E314" s="156"/>
      <c r="F314" s="196"/>
      <c r="G314" s="198"/>
    </row>
    <row r="315" spans="1:7" s="42" customFormat="1" hidden="1">
      <c r="A315" s="24"/>
      <c r="B315" s="25"/>
      <c r="C315" s="421"/>
      <c r="D315" s="41"/>
      <c r="E315" s="156"/>
      <c r="F315" s="196"/>
      <c r="G315" s="198"/>
    </row>
    <row r="316" spans="1:7" s="42" customFormat="1" hidden="1">
      <c r="A316" s="24"/>
      <c r="B316" s="25"/>
      <c r="C316" s="421"/>
      <c r="D316" s="41"/>
      <c r="E316" s="156"/>
      <c r="F316" s="196"/>
      <c r="G316" s="198"/>
    </row>
    <row r="317" spans="1:7" s="42" customFormat="1" hidden="1">
      <c r="A317" s="24"/>
      <c r="B317" s="25"/>
      <c r="C317" s="421"/>
      <c r="D317" s="41"/>
      <c r="E317" s="156"/>
      <c r="F317" s="196"/>
      <c r="G317" s="198"/>
    </row>
    <row r="318" spans="1:7" s="42" customFormat="1" hidden="1">
      <c r="A318" s="24"/>
      <c r="B318" s="25"/>
      <c r="C318" s="421"/>
      <c r="D318" s="41"/>
      <c r="E318" s="156"/>
      <c r="F318" s="196"/>
      <c r="G318" s="198"/>
    </row>
    <row r="319" spans="1:7" s="42" customFormat="1" hidden="1">
      <c r="A319" s="24"/>
      <c r="B319" s="25"/>
      <c r="C319" s="421"/>
      <c r="D319" s="41"/>
      <c r="E319" s="156"/>
      <c r="F319" s="196"/>
      <c r="G319" s="198"/>
    </row>
    <row r="320" spans="1:7" s="42" customFormat="1" hidden="1">
      <c r="A320" s="24"/>
      <c r="B320" s="25"/>
      <c r="C320" s="421"/>
      <c r="D320" s="41"/>
      <c r="E320" s="156"/>
      <c r="F320" s="196"/>
      <c r="G320" s="198"/>
    </row>
    <row r="321" spans="1:7" s="42" customFormat="1" hidden="1">
      <c r="A321" s="24"/>
      <c r="B321" s="25"/>
      <c r="C321" s="421"/>
      <c r="D321" s="41"/>
      <c r="E321" s="156"/>
      <c r="F321" s="196"/>
      <c r="G321" s="198"/>
    </row>
    <row r="322" spans="1:7" s="42" customFormat="1" hidden="1">
      <c r="A322" s="24"/>
      <c r="B322" s="25"/>
      <c r="C322" s="421"/>
      <c r="D322" s="41"/>
      <c r="E322" s="156"/>
      <c r="F322" s="196"/>
      <c r="G322" s="198"/>
    </row>
    <row r="323" spans="1:7" s="42" customFormat="1" hidden="1">
      <c r="A323" s="24"/>
      <c r="B323" s="25"/>
      <c r="C323" s="421"/>
      <c r="D323" s="41"/>
      <c r="E323" s="156"/>
      <c r="F323" s="196"/>
      <c r="G323" s="198"/>
    </row>
    <row r="324" spans="1:7" s="42" customFormat="1" hidden="1">
      <c r="A324" s="24"/>
      <c r="B324" s="25"/>
      <c r="C324" s="421"/>
      <c r="D324" s="41"/>
      <c r="E324" s="156"/>
      <c r="F324" s="196"/>
      <c r="G324" s="198"/>
    </row>
    <row r="325" spans="1:7" s="42" customFormat="1" hidden="1">
      <c r="A325" s="24"/>
      <c r="B325" s="25"/>
      <c r="C325" s="421"/>
      <c r="D325" s="41"/>
      <c r="E325" s="156"/>
      <c r="F325" s="196"/>
      <c r="G325" s="198"/>
    </row>
    <row r="326" spans="1:7" s="42" customFormat="1" hidden="1">
      <c r="A326" s="24"/>
      <c r="B326" s="25"/>
      <c r="C326" s="421"/>
      <c r="D326" s="41"/>
      <c r="E326" s="156"/>
      <c r="F326" s="196"/>
      <c r="G326" s="198"/>
    </row>
    <row r="327" spans="1:7" s="42" customFormat="1" hidden="1">
      <c r="A327" s="24"/>
      <c r="B327" s="25"/>
      <c r="C327" s="421"/>
      <c r="D327" s="41"/>
      <c r="E327" s="156"/>
      <c r="F327" s="196"/>
      <c r="G327" s="198"/>
    </row>
    <row r="328" spans="1:7" s="42" customFormat="1" hidden="1">
      <c r="A328" s="24"/>
      <c r="B328" s="25"/>
      <c r="C328" s="421"/>
      <c r="D328" s="41"/>
      <c r="E328" s="156"/>
      <c r="F328" s="196"/>
      <c r="G328" s="198"/>
    </row>
    <row r="329" spans="1:7" s="42" customFormat="1" hidden="1">
      <c r="A329" s="24"/>
      <c r="B329" s="25"/>
      <c r="C329" s="421"/>
      <c r="D329" s="41"/>
      <c r="E329" s="156"/>
      <c r="F329" s="196"/>
      <c r="G329" s="198"/>
    </row>
    <row r="330" spans="1:7" s="42" customFormat="1" hidden="1">
      <c r="A330" s="24"/>
      <c r="B330" s="25"/>
      <c r="C330" s="421"/>
      <c r="D330" s="41"/>
      <c r="E330" s="156"/>
      <c r="F330" s="196"/>
      <c r="G330" s="198"/>
    </row>
    <row r="331" spans="1:7" s="42" customFormat="1" hidden="1">
      <c r="A331" s="24"/>
      <c r="B331" s="25"/>
      <c r="C331" s="421"/>
      <c r="D331" s="41"/>
      <c r="E331" s="156"/>
      <c r="F331" s="196"/>
      <c r="G331" s="198"/>
    </row>
    <row r="332" spans="1:7" s="42" customFormat="1" hidden="1">
      <c r="A332" s="24"/>
      <c r="B332" s="25"/>
      <c r="C332" s="421"/>
      <c r="D332" s="41"/>
      <c r="E332" s="156"/>
      <c r="F332" s="196"/>
      <c r="G332" s="198"/>
    </row>
    <row r="333" spans="1:7" s="42" customFormat="1" hidden="1">
      <c r="A333" s="24"/>
      <c r="B333" s="25"/>
      <c r="C333" s="421"/>
      <c r="D333" s="41"/>
      <c r="E333" s="156"/>
      <c r="F333" s="196"/>
      <c r="G333" s="198"/>
    </row>
    <row r="334" spans="1:7" s="42" customFormat="1" hidden="1">
      <c r="A334" s="24"/>
      <c r="B334" s="25"/>
      <c r="C334" s="421"/>
      <c r="D334" s="41"/>
      <c r="E334" s="156"/>
      <c r="F334" s="196"/>
      <c r="G334" s="198"/>
    </row>
    <row r="335" spans="1:7" s="42" customFormat="1" hidden="1">
      <c r="A335" s="24"/>
      <c r="B335" s="25"/>
      <c r="C335" s="421"/>
      <c r="D335" s="41"/>
      <c r="E335" s="156"/>
      <c r="F335" s="196"/>
      <c r="G335" s="198"/>
    </row>
    <row r="336" spans="1:7" s="42" customFormat="1" hidden="1">
      <c r="A336" s="24"/>
      <c r="B336" s="25"/>
      <c r="C336" s="421"/>
      <c r="D336" s="41"/>
      <c r="E336" s="156"/>
      <c r="F336" s="196"/>
      <c r="G336" s="198"/>
    </row>
    <row r="337" spans="1:7" s="42" customFormat="1" hidden="1">
      <c r="A337" s="24"/>
      <c r="B337" s="25"/>
      <c r="C337" s="421"/>
      <c r="D337" s="41"/>
      <c r="E337" s="156"/>
      <c r="F337" s="196"/>
      <c r="G337" s="198"/>
    </row>
    <row r="338" spans="1:7" s="42" customFormat="1" hidden="1">
      <c r="A338" s="24"/>
      <c r="B338" s="25"/>
      <c r="C338" s="421"/>
      <c r="D338" s="41"/>
      <c r="E338" s="156"/>
      <c r="F338" s="196"/>
      <c r="G338" s="198"/>
    </row>
    <row r="339" spans="1:7" s="42" customFormat="1" hidden="1">
      <c r="A339" s="24"/>
      <c r="B339" s="25"/>
      <c r="C339" s="421"/>
      <c r="D339" s="41"/>
      <c r="E339" s="156"/>
      <c r="F339" s="196"/>
      <c r="G339" s="198"/>
    </row>
    <row r="340" spans="1:7" s="42" customFormat="1" hidden="1">
      <c r="A340" s="24"/>
      <c r="B340" s="25"/>
      <c r="C340" s="421"/>
      <c r="D340" s="41"/>
      <c r="E340" s="156"/>
      <c r="F340" s="196"/>
      <c r="G340" s="198"/>
    </row>
    <row r="341" spans="1:7" s="42" customFormat="1" hidden="1">
      <c r="A341" s="24"/>
      <c r="B341" s="25"/>
      <c r="C341" s="421"/>
      <c r="D341" s="41"/>
      <c r="E341" s="156"/>
      <c r="F341" s="196"/>
      <c r="G341" s="198"/>
    </row>
    <row r="342" spans="1:7" s="42" customFormat="1" hidden="1">
      <c r="A342" s="24"/>
      <c r="B342" s="25"/>
      <c r="C342" s="421"/>
      <c r="D342" s="41"/>
      <c r="E342" s="156"/>
      <c r="F342" s="196"/>
      <c r="G342" s="198"/>
    </row>
    <row r="343" spans="1:7" s="42" customFormat="1" hidden="1">
      <c r="A343" s="24"/>
      <c r="B343" s="25"/>
      <c r="C343" s="421"/>
      <c r="D343" s="41"/>
      <c r="E343" s="156"/>
      <c r="F343" s="196"/>
      <c r="G343" s="198"/>
    </row>
    <row r="344" spans="1:7" s="42" customFormat="1" hidden="1">
      <c r="A344" s="24"/>
      <c r="B344" s="25"/>
      <c r="C344" s="421"/>
      <c r="D344" s="41"/>
      <c r="E344" s="156"/>
      <c r="F344" s="196"/>
      <c r="G344" s="198"/>
    </row>
    <row r="345" spans="1:7" s="42" customFormat="1" hidden="1">
      <c r="A345" s="24"/>
      <c r="B345" s="25"/>
      <c r="C345" s="421"/>
      <c r="D345" s="41"/>
      <c r="E345" s="156"/>
      <c r="F345" s="196"/>
      <c r="G345" s="198"/>
    </row>
    <row r="346" spans="1:7">
      <c r="E346" s="156"/>
      <c r="F346" s="157"/>
      <c r="G346" s="199"/>
    </row>
    <row r="347" spans="1:7">
      <c r="A347" s="460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1271"/>
  <sheetViews>
    <sheetView topLeftCell="A166" zoomScaleNormal="100" workbookViewId="0">
      <selection activeCell="D166" sqref="D166"/>
    </sheetView>
  </sheetViews>
  <sheetFormatPr defaultColWidth="0" defaultRowHeight="12.75" zeroHeight="1"/>
  <cols>
    <col min="1" max="1" width="1.28515625" style="81" customWidth="1"/>
    <col min="2" max="2" width="14.140625" style="81" customWidth="1"/>
    <col min="3" max="3" width="33.5703125" style="81" customWidth="1"/>
    <col min="4" max="4" width="17.42578125" style="82" customWidth="1"/>
    <col min="5" max="5" width="9.85546875" style="83" customWidth="1"/>
    <col min="6" max="6" width="3.140625" style="81" customWidth="1"/>
    <col min="7" max="7" width="12.85546875" style="84" customWidth="1"/>
    <col min="8" max="8" width="4.5703125" style="81" customWidth="1"/>
    <col min="9" max="9" width="5.140625" style="85" customWidth="1"/>
    <col min="10" max="10" width="16" style="81" customWidth="1"/>
    <col min="11" max="11" width="10.5703125" style="86" customWidth="1"/>
    <col min="12" max="12" width="14" style="81" hidden="1" customWidth="1"/>
    <col min="13" max="13" width="4.42578125" style="81" hidden="1" customWidth="1"/>
    <col min="14" max="14" width="11.7109375" style="81" hidden="1" customWidth="1"/>
    <col min="15" max="15" width="4.28515625" style="81" hidden="1" customWidth="1"/>
    <col min="16" max="16" width="4.7109375" style="81" hidden="1" customWidth="1"/>
    <col min="17" max="17" width="11.140625" style="81" hidden="1" customWidth="1"/>
    <col min="18" max="18" width="4.28515625" style="81" hidden="1" customWidth="1"/>
    <col min="19" max="19" width="4.42578125" style="81" hidden="1" customWidth="1"/>
    <col min="20" max="20" width="11.140625" style="81" hidden="1" customWidth="1"/>
    <col min="21" max="21" width="4.7109375" style="81" hidden="1" customWidth="1"/>
    <col min="22" max="22" width="4.5703125" style="81" hidden="1" customWidth="1"/>
    <col min="23" max="23" width="13.5703125" style="81" hidden="1" customWidth="1"/>
    <col min="24" max="24" width="4.7109375" style="81" hidden="1" customWidth="1"/>
    <col min="25" max="25" width="4.28515625" style="81" hidden="1" customWidth="1"/>
    <col min="26" max="26" width="13.5703125" style="81" hidden="1" customWidth="1"/>
    <col min="27" max="27" width="15.7109375" style="81" hidden="1" customWidth="1"/>
    <col min="28" max="28" width="12.85546875" style="81" hidden="1" customWidth="1"/>
    <col min="29" max="29" width="0" style="81" hidden="1" customWidth="1"/>
    <col min="30" max="30" width="9.42578125" style="81" hidden="1" customWidth="1"/>
    <col min="31" max="31" width="10.42578125" style="81" hidden="1" customWidth="1"/>
    <col min="32" max="32" width="0" style="81" hidden="1" customWidth="1"/>
    <col min="33" max="34" width="12.85546875" style="81" hidden="1" customWidth="1"/>
    <col min="35" max="16384" width="0" style="81" hidden="1"/>
  </cols>
  <sheetData>
    <row r="1" spans="1:11" s="80" customFormat="1">
      <c r="A1" s="328" t="s">
        <v>85</v>
      </c>
      <c r="D1" s="329"/>
      <c r="E1" s="330"/>
      <c r="I1" s="331"/>
      <c r="K1" s="438"/>
    </row>
    <row r="2" spans="1:11" s="80" customFormat="1">
      <c r="A2" s="328" t="s">
        <v>27</v>
      </c>
      <c r="D2" s="329"/>
      <c r="E2" s="330"/>
      <c r="I2" s="331"/>
      <c r="K2" s="438"/>
    </row>
    <row r="3" spans="1:11" s="80" customFormat="1">
      <c r="A3" s="495" t="s">
        <v>450</v>
      </c>
      <c r="D3" s="329"/>
      <c r="E3" s="330"/>
      <c r="I3" s="331"/>
      <c r="K3" s="438"/>
    </row>
    <row r="4" spans="1:11" ht="8.25" customHeight="1"/>
    <row r="5" spans="1:11" ht="8.25" customHeight="1"/>
    <row r="6" spans="1:11" ht="8.25" customHeight="1"/>
    <row r="7" spans="1:11" ht="8.25" customHeight="1"/>
    <row r="8" spans="1:11" ht="8.25" customHeight="1"/>
    <row r="9" spans="1:11" ht="8.25" customHeight="1"/>
    <row r="10" spans="1:11" ht="8.25" customHeight="1"/>
    <row r="11" spans="1:11" ht="8.25" customHeight="1"/>
    <row r="12" spans="1:11" ht="8.25" customHeight="1"/>
    <row r="13" spans="1:11" ht="8.25" customHeight="1"/>
    <row r="14" spans="1:11" ht="8.25" customHeight="1">
      <c r="A14" s="86"/>
      <c r="B14" s="86"/>
      <c r="C14" s="86"/>
      <c r="D14" s="332"/>
      <c r="E14" s="87"/>
      <c r="F14" s="86"/>
      <c r="G14" s="88"/>
      <c r="H14" s="86"/>
      <c r="I14" s="89"/>
      <c r="J14" s="86"/>
    </row>
    <row r="15" spans="1:11">
      <c r="A15" s="90" t="s">
        <v>28</v>
      </c>
      <c r="B15" s="90"/>
      <c r="C15" s="86"/>
      <c r="D15" s="332"/>
      <c r="E15" s="87"/>
      <c r="F15" s="86"/>
      <c r="G15" s="88"/>
      <c r="H15" s="86"/>
      <c r="I15" s="89"/>
      <c r="J15" s="86"/>
    </row>
    <row r="16" spans="1:11" s="92" customFormat="1" ht="13.5" thickBot="1">
      <c r="A16" s="91" t="s">
        <v>374</v>
      </c>
      <c r="D16" s="333"/>
      <c r="E16" s="334"/>
      <c r="G16" s="335"/>
      <c r="I16" s="336" t="s">
        <v>7</v>
      </c>
      <c r="J16" s="91">
        <f>TB!H8</f>
        <v>681311.69</v>
      </c>
    </row>
    <row r="17" spans="1:42" s="86" customFormat="1" ht="13.5" thickTop="1">
      <c r="D17" s="332"/>
      <c r="E17" s="87"/>
      <c r="G17" s="88"/>
      <c r="I17" s="89"/>
      <c r="J17" s="93"/>
      <c r="K17" s="93"/>
      <c r="N17" s="93"/>
      <c r="Q17" s="93"/>
      <c r="T17" s="93"/>
      <c r="W17" s="93"/>
      <c r="Z17" s="93"/>
      <c r="AG17" s="93"/>
      <c r="AH17" s="93"/>
    </row>
    <row r="18" spans="1:42">
      <c r="A18" s="90" t="s">
        <v>30</v>
      </c>
      <c r="B18" s="90"/>
      <c r="C18" s="86"/>
      <c r="D18" s="332"/>
      <c r="E18" s="87"/>
      <c r="F18" s="86"/>
      <c r="G18" s="88"/>
      <c r="H18" s="86"/>
      <c r="I18" s="89"/>
      <c r="J18" s="86"/>
    </row>
    <row r="19" spans="1:42" s="92" customFormat="1" ht="13.5" thickBot="1">
      <c r="A19" s="91" t="s">
        <v>166</v>
      </c>
      <c r="B19" s="91"/>
      <c r="D19" s="333"/>
      <c r="E19" s="334"/>
      <c r="G19" s="335"/>
      <c r="I19" s="336" t="s">
        <v>7</v>
      </c>
      <c r="J19" s="91">
        <f>TB!H9</f>
        <v>1220191.7588804425</v>
      </c>
      <c r="AA19" s="91"/>
    </row>
    <row r="20" spans="1:42" s="93" customFormat="1" ht="13.5" thickTop="1">
      <c r="D20" s="332"/>
      <c r="E20" s="337"/>
      <c r="G20" s="338"/>
      <c r="I20" s="89"/>
    </row>
    <row r="21" spans="1:42" s="93" customFormat="1">
      <c r="D21" s="332"/>
      <c r="E21" s="337"/>
      <c r="G21" s="338"/>
      <c r="I21" s="89"/>
    </row>
    <row r="22" spans="1:42">
      <c r="A22" s="90" t="s">
        <v>32</v>
      </c>
      <c r="B22" s="90"/>
      <c r="C22" s="86"/>
      <c r="D22" s="332"/>
      <c r="E22" s="87"/>
      <c r="F22" s="86"/>
      <c r="G22" s="88"/>
      <c r="H22" s="86"/>
      <c r="I22" s="89"/>
      <c r="J22" s="86"/>
    </row>
    <row r="23" spans="1:42" s="92" customFormat="1" ht="13.5" thickBot="1">
      <c r="A23" s="91" t="s">
        <v>392</v>
      </c>
      <c r="B23" s="91"/>
      <c r="D23" s="333"/>
      <c r="E23" s="334"/>
      <c r="G23" s="335"/>
      <c r="I23" s="336" t="s">
        <v>7</v>
      </c>
      <c r="J23" s="91">
        <f>TB!H10</f>
        <v>75149.069999999992</v>
      </c>
      <c r="AA23" s="91"/>
    </row>
    <row r="24" spans="1:42" s="93" customFormat="1" ht="13.5" thickTop="1">
      <c r="D24" s="332"/>
      <c r="E24" s="337"/>
      <c r="G24" s="338"/>
      <c r="I24" s="89"/>
    </row>
    <row r="25" spans="1:42" s="93" customFormat="1">
      <c r="D25" s="332"/>
      <c r="E25" s="337"/>
      <c r="G25" s="338"/>
      <c r="I25" s="89"/>
    </row>
    <row r="26" spans="1:42">
      <c r="A26" s="94" t="s">
        <v>34</v>
      </c>
      <c r="AA26" s="86"/>
      <c r="AB26" s="86"/>
      <c r="AC26" s="86"/>
      <c r="AD26" s="86"/>
      <c r="AE26" s="86"/>
      <c r="AF26" s="86"/>
      <c r="AG26" s="95"/>
      <c r="AH26" s="86"/>
      <c r="AI26" s="86"/>
      <c r="AJ26" s="86"/>
      <c r="AK26" s="86"/>
      <c r="AL26" s="86"/>
      <c r="AM26" s="86"/>
    </row>
    <row r="27" spans="1:42">
      <c r="A27" s="106" t="s">
        <v>31</v>
      </c>
      <c r="B27" s="97"/>
      <c r="C27" s="97"/>
      <c r="D27" s="339"/>
      <c r="E27" s="340"/>
      <c r="F27" s="97"/>
      <c r="G27" s="341"/>
      <c r="H27" s="97"/>
      <c r="I27" s="342"/>
      <c r="J27" s="97"/>
      <c r="K27" s="97"/>
      <c r="AA27" s="90"/>
      <c r="AB27" s="86"/>
      <c r="AC27" s="86"/>
      <c r="AD27" s="86"/>
      <c r="AE27" s="86"/>
      <c r="AF27" s="86"/>
      <c r="AG27" s="96"/>
      <c r="AH27" s="86"/>
      <c r="AI27" s="86"/>
      <c r="AJ27" s="86"/>
      <c r="AK27" s="86"/>
      <c r="AL27" s="86"/>
      <c r="AM27" s="86"/>
    </row>
    <row r="28" spans="1:42" ht="1.5" customHeight="1">
      <c r="A28" s="500"/>
      <c r="B28" s="500"/>
      <c r="C28" s="500"/>
      <c r="D28" s="501"/>
      <c r="E28" s="502"/>
      <c r="F28" s="500"/>
      <c r="G28" s="503"/>
      <c r="H28" s="503"/>
      <c r="I28" s="504"/>
      <c r="J28" s="500"/>
      <c r="K28" s="500"/>
      <c r="M28" s="97"/>
      <c r="N28" s="97"/>
      <c r="P28" s="97"/>
      <c r="Q28" s="97"/>
      <c r="S28" s="97"/>
      <c r="T28" s="97"/>
      <c r="V28" s="97"/>
      <c r="W28" s="97"/>
      <c r="Y28" s="97"/>
      <c r="Z28" s="97"/>
      <c r="AA28" s="90"/>
      <c r="AB28" s="86"/>
      <c r="AC28" s="86"/>
      <c r="AD28" s="86"/>
      <c r="AE28" s="86"/>
      <c r="AF28" s="86"/>
      <c r="AG28" s="96"/>
      <c r="AH28" s="86"/>
      <c r="AI28" s="86"/>
      <c r="AJ28" s="86"/>
      <c r="AK28" s="86"/>
      <c r="AL28" s="86"/>
      <c r="AM28" s="86"/>
    </row>
    <row r="29" spans="1:42">
      <c r="A29" s="86"/>
      <c r="B29" s="87"/>
      <c r="C29" s="344"/>
      <c r="D29" s="505"/>
      <c r="E29" s="344"/>
      <c r="F29" s="87"/>
      <c r="G29" s="506"/>
      <c r="H29" s="472"/>
      <c r="I29" s="473"/>
      <c r="J29" s="87"/>
      <c r="M29" s="86"/>
      <c r="N29" s="86"/>
      <c r="P29" s="86"/>
      <c r="Q29" s="86"/>
      <c r="S29" s="86"/>
      <c r="T29" s="86"/>
      <c r="V29" s="86"/>
      <c r="W29" s="86"/>
      <c r="Y29" s="86"/>
      <c r="Z29" s="86"/>
      <c r="AA29" s="90"/>
      <c r="AB29" s="86"/>
      <c r="AC29" s="86"/>
      <c r="AD29" s="86"/>
      <c r="AE29" s="86"/>
      <c r="AF29" s="86"/>
      <c r="AG29" s="96"/>
      <c r="AH29" s="86"/>
      <c r="AI29" s="86"/>
      <c r="AJ29" s="86"/>
      <c r="AK29" s="86"/>
      <c r="AL29" s="86"/>
      <c r="AM29" s="86"/>
    </row>
    <row r="30" spans="1:42">
      <c r="A30" s="86"/>
      <c r="B30" s="90"/>
      <c r="C30" s="343"/>
      <c r="E30" s="344"/>
      <c r="F30" s="86"/>
      <c r="G30" s="345"/>
      <c r="H30" s="89"/>
      <c r="I30" s="90"/>
      <c r="J30" s="343"/>
      <c r="K30" s="88"/>
      <c r="L30" s="89"/>
      <c r="M30" s="86"/>
      <c r="N30" s="86"/>
      <c r="P30" s="86"/>
      <c r="Q30" s="86"/>
      <c r="S30" s="86"/>
      <c r="T30" s="86"/>
      <c r="V30" s="86"/>
      <c r="W30" s="86"/>
      <c r="Y30" s="86"/>
      <c r="Z30" s="86"/>
      <c r="AB30" s="86"/>
      <c r="AC30" s="86"/>
      <c r="AD30" s="90"/>
      <c r="AE30" s="86"/>
      <c r="AF30" s="86"/>
      <c r="AG30" s="86"/>
      <c r="AH30" s="86"/>
      <c r="AI30" s="86"/>
      <c r="AJ30" s="96"/>
      <c r="AK30" s="86"/>
      <c r="AL30" s="86"/>
      <c r="AM30" s="86"/>
      <c r="AN30" s="86"/>
      <c r="AO30" s="86"/>
      <c r="AP30" s="86"/>
    </row>
    <row r="31" spans="1:42">
      <c r="A31" s="86"/>
      <c r="B31" s="90"/>
      <c r="C31" s="343"/>
      <c r="E31" s="344"/>
      <c r="F31" s="86"/>
      <c r="G31" s="345"/>
      <c r="H31" s="89"/>
      <c r="I31" s="90"/>
      <c r="J31" s="90" t="s">
        <v>452</v>
      </c>
      <c r="K31" s="343" t="s">
        <v>453</v>
      </c>
      <c r="L31" s="89"/>
      <c r="M31" s="86"/>
      <c r="N31" s="86"/>
      <c r="P31" s="86"/>
      <c r="Q31" s="86"/>
      <c r="S31" s="86"/>
      <c r="T31" s="86"/>
      <c r="V31" s="86"/>
      <c r="W31" s="86"/>
      <c r="Y31" s="86"/>
      <c r="Z31" s="86"/>
      <c r="AB31" s="86"/>
      <c r="AC31" s="86"/>
      <c r="AD31" s="90"/>
      <c r="AE31" s="86"/>
      <c r="AF31" s="86"/>
      <c r="AG31" s="86"/>
      <c r="AH31" s="86"/>
      <c r="AI31" s="86"/>
      <c r="AJ31" s="96"/>
      <c r="AK31" s="86"/>
      <c r="AL31" s="86"/>
      <c r="AM31" s="86"/>
      <c r="AN31" s="86"/>
      <c r="AO31" s="86"/>
      <c r="AP31" s="86"/>
    </row>
    <row r="32" spans="1:42" s="83" customFormat="1">
      <c r="A32" s="86"/>
      <c r="B32" s="90" t="s">
        <v>454</v>
      </c>
      <c r="C32" s="343" t="s">
        <v>181</v>
      </c>
      <c r="D32" s="82"/>
      <c r="E32" s="344" t="s">
        <v>455</v>
      </c>
      <c r="F32" s="86"/>
      <c r="G32" s="345" t="s">
        <v>456</v>
      </c>
      <c r="H32" s="89"/>
      <c r="I32" s="90"/>
      <c r="J32" s="90" t="s">
        <v>457</v>
      </c>
      <c r="K32" s="343" t="s">
        <v>458</v>
      </c>
      <c r="L32" s="473"/>
      <c r="M32" s="87"/>
      <c r="N32" s="87"/>
      <c r="P32" s="87"/>
      <c r="Q32" s="87"/>
      <c r="S32" s="87"/>
      <c r="T32" s="87"/>
      <c r="V32" s="87"/>
      <c r="W32" s="87"/>
      <c r="Y32" s="87"/>
      <c r="Z32" s="87"/>
      <c r="AB32" s="87"/>
      <c r="AC32" s="87"/>
      <c r="AD32" s="474"/>
      <c r="AE32" s="87"/>
      <c r="AF32" s="87"/>
      <c r="AG32" s="87"/>
      <c r="AH32" s="87"/>
      <c r="AI32" s="87"/>
      <c r="AJ32" s="475"/>
      <c r="AK32" s="87"/>
      <c r="AL32" s="87"/>
      <c r="AM32" s="87"/>
      <c r="AN32" s="87"/>
      <c r="AO32" s="87"/>
      <c r="AP32" s="87"/>
    </row>
    <row r="33" spans="1:42">
      <c r="A33" s="86"/>
      <c r="B33" s="90"/>
      <c r="C33" s="343"/>
      <c r="E33" s="344"/>
      <c r="F33" s="86"/>
      <c r="G33" s="345"/>
      <c r="H33" s="89"/>
      <c r="I33" s="86"/>
      <c r="J33" s="86"/>
      <c r="L33" s="89"/>
      <c r="M33" s="86"/>
      <c r="N33" s="86"/>
      <c r="P33" s="86"/>
      <c r="Q33" s="86"/>
      <c r="S33" s="86"/>
      <c r="T33" s="86"/>
      <c r="V33" s="86"/>
      <c r="W33" s="86"/>
      <c r="Y33" s="86"/>
      <c r="Z33" s="86"/>
      <c r="AB33" s="86"/>
      <c r="AC33" s="86"/>
      <c r="AD33" s="90"/>
      <c r="AE33" s="86"/>
      <c r="AF33" s="86"/>
      <c r="AG33" s="86"/>
      <c r="AH33" s="86"/>
      <c r="AI33" s="86"/>
      <c r="AJ33" s="96"/>
      <c r="AK33" s="86"/>
      <c r="AL33" s="86"/>
      <c r="AM33" s="86"/>
      <c r="AN33" s="86"/>
      <c r="AO33" s="86"/>
      <c r="AP33" s="86"/>
    </row>
    <row r="34" spans="1:42">
      <c r="A34" s="86"/>
      <c r="B34" s="90"/>
      <c r="C34" s="343"/>
      <c r="E34" s="344"/>
      <c r="F34" s="86"/>
      <c r="G34" s="345"/>
      <c r="H34" s="89"/>
      <c r="I34" s="86"/>
      <c r="J34" s="86"/>
      <c r="K34" s="507"/>
      <c r="L34" s="89"/>
      <c r="M34" s="86"/>
      <c r="N34" s="86"/>
      <c r="P34" s="86"/>
      <c r="Q34" s="86"/>
      <c r="S34" s="86"/>
      <c r="T34" s="86"/>
      <c r="V34" s="86"/>
      <c r="W34" s="86"/>
      <c r="Y34" s="86"/>
      <c r="Z34" s="86"/>
      <c r="AB34" s="86"/>
      <c r="AC34" s="86"/>
      <c r="AD34" s="90"/>
      <c r="AE34" s="86"/>
      <c r="AF34" s="86"/>
      <c r="AG34" s="86"/>
      <c r="AH34" s="86"/>
      <c r="AI34" s="86"/>
      <c r="AJ34" s="96"/>
      <c r="AK34" s="86"/>
      <c r="AL34" s="86"/>
      <c r="AM34" s="86"/>
      <c r="AN34" s="86"/>
      <c r="AO34" s="86"/>
      <c r="AP34" s="86"/>
    </row>
    <row r="35" spans="1:42">
      <c r="A35" s="86"/>
      <c r="C35" s="86" t="s">
        <v>380</v>
      </c>
      <c r="D35" s="81"/>
      <c r="E35" s="84">
        <v>613</v>
      </c>
      <c r="G35" s="347">
        <v>18800</v>
      </c>
      <c r="H35" s="86"/>
      <c r="I35" s="347"/>
      <c r="J35" s="347"/>
      <c r="K35" s="508"/>
      <c r="L35" s="89"/>
      <c r="M35" s="86"/>
      <c r="N35" s="86"/>
      <c r="P35" s="86"/>
      <c r="Q35" s="86"/>
      <c r="S35" s="86"/>
      <c r="T35" s="86"/>
      <c r="V35" s="86"/>
      <c r="W35" s="86"/>
      <c r="Y35" s="86"/>
      <c r="Z35" s="86"/>
      <c r="AB35" s="86"/>
      <c r="AC35" s="86"/>
      <c r="AD35" s="90"/>
      <c r="AE35" s="86"/>
      <c r="AF35" s="86"/>
      <c r="AG35" s="86"/>
      <c r="AH35" s="86"/>
      <c r="AI35" s="86"/>
      <c r="AJ35" s="96"/>
      <c r="AK35" s="86"/>
      <c r="AL35" s="86"/>
      <c r="AM35" s="86"/>
      <c r="AN35" s="86"/>
      <c r="AO35" s="86"/>
      <c r="AP35" s="86"/>
    </row>
    <row r="36" spans="1:42">
      <c r="B36" s="509">
        <v>41743</v>
      </c>
      <c r="C36" s="81" t="s">
        <v>401</v>
      </c>
      <c r="E36" s="346">
        <v>5400</v>
      </c>
      <c r="G36" s="82">
        <v>299</v>
      </c>
      <c r="H36" s="85"/>
      <c r="I36" s="82"/>
      <c r="J36" s="82"/>
      <c r="K36" s="508">
        <f>DATE(2015,1,26)-DATE(2014,4,14)</f>
        <v>287</v>
      </c>
      <c r="L36" s="89"/>
      <c r="M36" s="86"/>
      <c r="N36" s="86"/>
      <c r="P36" s="86"/>
      <c r="Q36" s="86"/>
      <c r="S36" s="86"/>
      <c r="T36" s="86"/>
      <c r="V36" s="86"/>
      <c r="W36" s="86"/>
      <c r="Y36" s="86"/>
      <c r="Z36" s="86"/>
      <c r="AB36" s="86"/>
      <c r="AC36" s="86"/>
      <c r="AD36" s="90"/>
      <c r="AE36" s="86"/>
      <c r="AF36" s="86"/>
      <c r="AG36" s="86"/>
      <c r="AH36" s="86"/>
      <c r="AI36" s="86"/>
      <c r="AJ36" s="96"/>
      <c r="AK36" s="86"/>
      <c r="AL36" s="86"/>
      <c r="AM36" s="86"/>
      <c r="AN36" s="86"/>
      <c r="AO36" s="86"/>
      <c r="AP36" s="86"/>
    </row>
    <row r="37" spans="1:42">
      <c r="B37" s="499">
        <v>41827</v>
      </c>
      <c r="C37" s="444" t="s">
        <v>459</v>
      </c>
      <c r="D37" s="81"/>
      <c r="E37" s="84">
        <v>5527</v>
      </c>
      <c r="F37" s="83"/>
      <c r="G37" s="82">
        <v>4066</v>
      </c>
      <c r="H37" s="87"/>
      <c r="I37" s="332"/>
      <c r="J37" s="332" t="s">
        <v>460</v>
      </c>
      <c r="K37" s="508">
        <f>DATE(2015,1,26)-DATE(2014,7,7)</f>
        <v>203</v>
      </c>
      <c r="L37" s="89"/>
      <c r="M37" s="86"/>
      <c r="N37" s="86"/>
      <c r="P37" s="86"/>
      <c r="Q37" s="86"/>
      <c r="S37" s="86"/>
      <c r="T37" s="86"/>
      <c r="V37" s="86"/>
      <c r="W37" s="86"/>
      <c r="Y37" s="86"/>
      <c r="Z37" s="86"/>
      <c r="AB37" s="86"/>
      <c r="AC37" s="86"/>
      <c r="AD37" s="90"/>
      <c r="AE37" s="86"/>
      <c r="AF37" s="86"/>
      <c r="AG37" s="86"/>
      <c r="AH37" s="86"/>
      <c r="AI37" s="86"/>
      <c r="AJ37" s="96"/>
      <c r="AK37" s="86"/>
      <c r="AL37" s="86"/>
      <c r="AM37" s="86"/>
      <c r="AN37" s="86"/>
      <c r="AO37" s="86"/>
      <c r="AP37" s="86"/>
    </row>
    <row r="38" spans="1:42">
      <c r="B38" s="499">
        <v>41863</v>
      </c>
      <c r="C38" s="444" t="s">
        <v>461</v>
      </c>
      <c r="D38" s="81"/>
      <c r="E38" s="84">
        <v>5588</v>
      </c>
      <c r="F38" s="83"/>
      <c r="G38" s="347">
        <v>59925</v>
      </c>
      <c r="H38" s="87"/>
      <c r="I38" s="332"/>
      <c r="J38" s="332" t="s">
        <v>462</v>
      </c>
      <c r="K38" s="508">
        <f>DATE(2015,1,26)-DATE(2014,8,12)</f>
        <v>167</v>
      </c>
      <c r="L38" s="89"/>
      <c r="M38" s="86"/>
      <c r="N38" s="86"/>
      <c r="P38" s="86"/>
      <c r="Q38" s="86"/>
      <c r="S38" s="86"/>
      <c r="T38" s="86"/>
      <c r="V38" s="86"/>
      <c r="W38" s="86"/>
      <c r="Y38" s="86"/>
      <c r="Z38" s="86"/>
      <c r="AB38" s="86"/>
      <c r="AC38" s="86"/>
      <c r="AD38" s="90"/>
      <c r="AE38" s="86"/>
      <c r="AF38" s="86"/>
      <c r="AG38" s="86"/>
      <c r="AH38" s="86"/>
      <c r="AI38" s="86"/>
      <c r="AJ38" s="96"/>
      <c r="AK38" s="86"/>
      <c r="AL38" s="86"/>
      <c r="AM38" s="86"/>
      <c r="AN38" s="86"/>
      <c r="AO38" s="86"/>
      <c r="AP38" s="86"/>
    </row>
    <row r="39" spans="1:42">
      <c r="B39" s="499">
        <v>41865</v>
      </c>
      <c r="C39" s="444" t="s">
        <v>463</v>
      </c>
      <c r="D39" s="81"/>
      <c r="E39" s="84">
        <v>5591</v>
      </c>
      <c r="F39" s="83"/>
      <c r="G39" s="347">
        <v>35696.25</v>
      </c>
      <c r="H39" s="87"/>
      <c r="I39" s="332"/>
      <c r="J39" s="332" t="s">
        <v>460</v>
      </c>
      <c r="K39" s="508">
        <f>DATE(2015,1,26)-DATE(2014,8,14)</f>
        <v>165</v>
      </c>
    </row>
    <row r="40" spans="1:42">
      <c r="B40" s="86"/>
      <c r="C40" s="444"/>
      <c r="D40" s="81"/>
      <c r="E40" s="84" t="s">
        <v>464</v>
      </c>
      <c r="F40" s="83"/>
      <c r="G40" s="347">
        <v>12500</v>
      </c>
      <c r="H40" s="87"/>
      <c r="I40" s="347"/>
      <c r="J40" s="347"/>
      <c r="K40" s="508"/>
    </row>
    <row r="41" spans="1:42">
      <c r="B41" s="499">
        <v>41873</v>
      </c>
      <c r="C41" s="444" t="s">
        <v>465</v>
      </c>
      <c r="D41" s="81"/>
      <c r="E41" s="84">
        <v>5607</v>
      </c>
      <c r="F41" s="83"/>
      <c r="G41" s="498">
        <v>35696.25</v>
      </c>
      <c r="H41" s="87"/>
      <c r="I41" s="332"/>
      <c r="J41" s="332" t="s">
        <v>460</v>
      </c>
      <c r="K41" s="508">
        <f>DATE(2015,1,26)-DATE(2014,8,22)</f>
        <v>157</v>
      </c>
    </row>
    <row r="42" spans="1:42">
      <c r="B42" s="86"/>
      <c r="C42" s="444"/>
      <c r="D42" s="81"/>
      <c r="E42" s="84" t="s">
        <v>466</v>
      </c>
      <c r="F42" s="83"/>
      <c r="G42" s="498">
        <v>13000</v>
      </c>
      <c r="H42" s="87"/>
      <c r="I42" s="498"/>
      <c r="J42" s="498"/>
      <c r="K42" s="510"/>
    </row>
    <row r="43" spans="1:42">
      <c r="B43" s="499">
        <v>41890</v>
      </c>
      <c r="C43" s="444" t="s">
        <v>465</v>
      </c>
      <c r="D43" s="81"/>
      <c r="E43" s="84">
        <v>5628</v>
      </c>
      <c r="F43" s="83"/>
      <c r="G43" s="347">
        <v>4423.2</v>
      </c>
      <c r="H43" s="87"/>
      <c r="I43" s="332"/>
      <c r="J43" s="332" t="s">
        <v>460</v>
      </c>
      <c r="K43" s="508">
        <f>DATE(2015,1,26)-DATE(2014,9,8)</f>
        <v>140</v>
      </c>
    </row>
    <row r="44" spans="1:42">
      <c r="A44" s="86"/>
      <c r="B44" s="86"/>
      <c r="C44" s="444"/>
      <c r="D44" s="81"/>
      <c r="E44" s="84" t="s">
        <v>464</v>
      </c>
      <c r="F44" s="83"/>
      <c r="G44" s="347">
        <v>2000</v>
      </c>
      <c r="H44" s="87"/>
      <c r="I44" s="347"/>
      <c r="J44" s="347"/>
      <c r="K44" s="508"/>
    </row>
    <row r="45" spans="1:42">
      <c r="A45" s="86"/>
      <c r="B45" s="499">
        <v>41898</v>
      </c>
      <c r="C45" s="444" t="s">
        <v>467</v>
      </c>
      <c r="D45" s="81"/>
      <c r="E45" s="84">
        <v>5637</v>
      </c>
      <c r="F45" s="83"/>
      <c r="G45" s="347">
        <v>22738.25</v>
      </c>
      <c r="H45" s="87"/>
      <c r="I45" s="332"/>
      <c r="J45" s="332" t="s">
        <v>460</v>
      </c>
      <c r="K45" s="508">
        <f>DATE(2015,1,26)-DATE(2014,9,16)</f>
        <v>132</v>
      </c>
    </row>
    <row r="46" spans="1:42">
      <c r="A46" s="86"/>
      <c r="B46" s="86"/>
      <c r="C46" s="444"/>
      <c r="D46" s="81"/>
      <c r="E46" s="84" t="s">
        <v>468</v>
      </c>
      <c r="F46" s="83"/>
      <c r="G46" s="347">
        <v>4800</v>
      </c>
      <c r="H46" s="87"/>
      <c r="I46" s="347"/>
      <c r="J46" s="347"/>
      <c r="K46" s="508"/>
    </row>
    <row r="47" spans="1:42">
      <c r="A47" s="86"/>
      <c r="B47" s="499">
        <v>41904</v>
      </c>
      <c r="C47" s="444" t="s">
        <v>469</v>
      </c>
      <c r="D47" s="81"/>
      <c r="E47" s="84">
        <v>5645</v>
      </c>
      <c r="F47" s="83"/>
      <c r="G47" s="347">
        <v>499</v>
      </c>
      <c r="H47" s="87"/>
      <c r="I47" s="332"/>
      <c r="J47" s="332"/>
      <c r="K47" s="508">
        <f>DATE(2015,1,26)-DATE(2014,9,22)</f>
        <v>126</v>
      </c>
    </row>
    <row r="48" spans="1:42">
      <c r="A48" s="86"/>
      <c r="B48" s="499">
        <v>41943</v>
      </c>
      <c r="C48" s="444" t="s">
        <v>470</v>
      </c>
      <c r="D48" s="81"/>
      <c r="E48" s="84">
        <v>5729</v>
      </c>
      <c r="F48" s="83"/>
      <c r="G48" s="498">
        <v>20808</v>
      </c>
      <c r="H48" s="87"/>
      <c r="I48" s="332"/>
      <c r="J48" s="332" t="s">
        <v>460</v>
      </c>
      <c r="K48" s="508">
        <f>DATE(2015,1,26)-DATE(2014,10,31)</f>
        <v>87</v>
      </c>
      <c r="L48" s="89"/>
      <c r="M48" s="86"/>
      <c r="N48" s="86"/>
      <c r="P48" s="86"/>
      <c r="Q48" s="86"/>
      <c r="S48" s="86"/>
      <c r="T48" s="86"/>
      <c r="V48" s="86"/>
      <c r="W48" s="86"/>
      <c r="Y48" s="86"/>
      <c r="Z48" s="86"/>
      <c r="AB48" s="86"/>
      <c r="AC48" s="86"/>
      <c r="AD48" s="90"/>
      <c r="AE48" s="86"/>
      <c r="AF48" s="86"/>
      <c r="AG48" s="86"/>
      <c r="AH48" s="86"/>
      <c r="AI48" s="86"/>
      <c r="AJ48" s="96"/>
      <c r="AK48" s="86"/>
      <c r="AL48" s="86"/>
      <c r="AM48" s="86"/>
      <c r="AN48" s="86"/>
      <c r="AO48" s="86"/>
      <c r="AP48" s="86"/>
    </row>
    <row r="49" spans="1:42">
      <c r="A49" s="86"/>
      <c r="B49" s="86"/>
      <c r="C49" s="444"/>
      <c r="D49" s="81"/>
      <c r="E49" s="84" t="s">
        <v>466</v>
      </c>
      <c r="F49" s="83"/>
      <c r="G49" s="498">
        <v>4250</v>
      </c>
      <c r="H49" s="87"/>
      <c r="I49" s="498"/>
      <c r="J49" s="498"/>
      <c r="K49" s="510"/>
      <c r="L49" s="89"/>
      <c r="M49" s="86"/>
      <c r="N49" s="86"/>
      <c r="P49" s="86"/>
      <c r="Q49" s="86"/>
      <c r="S49" s="86"/>
      <c r="T49" s="86"/>
      <c r="V49" s="86"/>
      <c r="W49" s="86"/>
      <c r="Y49" s="86"/>
      <c r="Z49" s="86"/>
      <c r="AB49" s="86"/>
      <c r="AC49" s="86"/>
      <c r="AD49" s="90"/>
      <c r="AE49" s="86"/>
      <c r="AF49" s="86"/>
      <c r="AG49" s="86"/>
      <c r="AH49" s="86"/>
      <c r="AI49" s="86"/>
      <c r="AJ49" s="96"/>
      <c r="AK49" s="86"/>
      <c r="AL49" s="86"/>
      <c r="AM49" s="86"/>
      <c r="AN49" s="86"/>
      <c r="AO49" s="86"/>
      <c r="AP49" s="86"/>
    </row>
    <row r="50" spans="1:42">
      <c r="A50" s="86"/>
      <c r="B50" s="499">
        <v>41943</v>
      </c>
      <c r="C50" s="444" t="s">
        <v>470</v>
      </c>
      <c r="D50" s="83"/>
      <c r="E50" s="346">
        <v>5730</v>
      </c>
      <c r="F50" s="83"/>
      <c r="G50" s="347">
        <v>20731.5</v>
      </c>
      <c r="H50" s="87"/>
      <c r="I50" s="332"/>
      <c r="J50" s="332" t="s">
        <v>460</v>
      </c>
      <c r="K50" s="508">
        <f>DATE(2015,1,26)-DATE(2014,10,31)</f>
        <v>87</v>
      </c>
      <c r="L50" s="89"/>
      <c r="M50" s="86"/>
      <c r="N50" s="86"/>
      <c r="P50" s="86"/>
      <c r="Q50" s="86"/>
      <c r="S50" s="86"/>
      <c r="T50" s="86"/>
      <c r="V50" s="86"/>
      <c r="W50" s="86"/>
      <c r="Y50" s="86"/>
      <c r="Z50" s="86"/>
      <c r="AB50" s="86"/>
      <c r="AC50" s="86"/>
      <c r="AD50" s="90"/>
      <c r="AE50" s="86"/>
      <c r="AF50" s="86"/>
      <c r="AG50" s="86"/>
      <c r="AH50" s="86"/>
      <c r="AI50" s="86"/>
      <c r="AJ50" s="96"/>
      <c r="AK50" s="86"/>
      <c r="AL50" s="86"/>
      <c r="AM50" s="86"/>
      <c r="AN50" s="86"/>
      <c r="AO50" s="86"/>
      <c r="AP50" s="86"/>
    </row>
    <row r="51" spans="1:42">
      <c r="A51" s="86"/>
      <c r="B51" s="87"/>
      <c r="C51" s="444"/>
      <c r="D51" s="83"/>
      <c r="E51" s="346" t="s">
        <v>466</v>
      </c>
      <c r="F51" s="83"/>
      <c r="G51" s="347">
        <v>68510</v>
      </c>
      <c r="H51" s="87"/>
      <c r="I51" s="347"/>
      <c r="J51" s="347"/>
      <c r="K51" s="508"/>
      <c r="L51" s="89"/>
      <c r="M51" s="86"/>
      <c r="N51" s="86"/>
      <c r="P51" s="86"/>
      <c r="Q51" s="86"/>
      <c r="S51" s="86"/>
      <c r="T51" s="86"/>
      <c r="V51" s="86"/>
      <c r="W51" s="86"/>
      <c r="Y51" s="86"/>
      <c r="Z51" s="86"/>
      <c r="AB51" s="86"/>
      <c r="AC51" s="86"/>
      <c r="AD51" s="90"/>
      <c r="AE51" s="86"/>
      <c r="AF51" s="86"/>
      <c r="AG51" s="86"/>
      <c r="AH51" s="86"/>
      <c r="AI51" s="86"/>
      <c r="AJ51" s="96"/>
      <c r="AK51" s="86"/>
      <c r="AL51" s="86"/>
      <c r="AM51" s="86"/>
      <c r="AN51" s="86"/>
      <c r="AO51" s="86"/>
      <c r="AP51" s="86"/>
    </row>
    <row r="52" spans="1:42">
      <c r="A52" s="86"/>
      <c r="B52" s="499">
        <v>41948</v>
      </c>
      <c r="C52" s="444" t="s">
        <v>471</v>
      </c>
      <c r="D52" s="471"/>
      <c r="E52" s="471">
        <v>5735</v>
      </c>
      <c r="F52" s="83"/>
      <c r="G52" s="464">
        <v>205620</v>
      </c>
      <c r="H52" s="87"/>
      <c r="I52" s="332"/>
      <c r="J52" s="332" t="s">
        <v>460</v>
      </c>
      <c r="K52" s="508">
        <f>DATE(2015,1,26)-DATE(2014,11,5)</f>
        <v>82</v>
      </c>
      <c r="L52" s="89"/>
      <c r="M52" s="86"/>
      <c r="N52" s="86"/>
      <c r="P52" s="86"/>
      <c r="Q52" s="86"/>
      <c r="S52" s="86"/>
      <c r="T52" s="86"/>
      <c r="V52" s="86"/>
      <c r="W52" s="86"/>
      <c r="Y52" s="86"/>
      <c r="Z52" s="86"/>
      <c r="AB52" s="86"/>
      <c r="AC52" s="86"/>
      <c r="AD52" s="90"/>
      <c r="AE52" s="86"/>
      <c r="AF52" s="86"/>
      <c r="AG52" s="86"/>
      <c r="AH52" s="86"/>
      <c r="AI52" s="86"/>
      <c r="AJ52" s="96"/>
      <c r="AK52" s="86"/>
      <c r="AL52" s="86"/>
      <c r="AM52" s="86"/>
      <c r="AN52" s="86"/>
      <c r="AO52" s="86"/>
      <c r="AP52" s="86"/>
    </row>
    <row r="53" spans="1:42">
      <c r="A53" s="86"/>
      <c r="B53" s="499">
        <v>41948</v>
      </c>
      <c r="C53" s="444" t="s">
        <v>472</v>
      </c>
      <c r="D53" s="81"/>
      <c r="E53" s="84">
        <v>5737</v>
      </c>
      <c r="F53" s="83"/>
      <c r="G53" s="347">
        <v>274405.5</v>
      </c>
      <c r="H53" s="87"/>
      <c r="I53" s="332"/>
      <c r="J53" s="332" t="s">
        <v>462</v>
      </c>
      <c r="K53" s="508">
        <f>DATE(2015,1,26)-DATE(2014,11,5)</f>
        <v>82</v>
      </c>
      <c r="L53" s="89"/>
      <c r="M53" s="86"/>
      <c r="N53" s="86"/>
      <c r="P53" s="86"/>
      <c r="Q53" s="86"/>
      <c r="S53" s="86"/>
      <c r="T53" s="86"/>
      <c r="V53" s="86"/>
      <c r="W53" s="86"/>
      <c r="Y53" s="86"/>
      <c r="Z53" s="86"/>
      <c r="AB53" s="86"/>
      <c r="AC53" s="86"/>
      <c r="AD53" s="90"/>
      <c r="AE53" s="86"/>
      <c r="AF53" s="86"/>
      <c r="AG53" s="86"/>
      <c r="AH53" s="86"/>
      <c r="AI53" s="86"/>
      <c r="AJ53" s="96"/>
      <c r="AK53" s="86"/>
      <c r="AL53" s="86"/>
      <c r="AM53" s="86"/>
      <c r="AN53" s="86"/>
      <c r="AO53" s="86"/>
      <c r="AP53" s="86"/>
    </row>
    <row r="54" spans="1:42">
      <c r="A54" s="86"/>
      <c r="B54" s="499">
        <v>41948</v>
      </c>
      <c r="C54" s="444" t="s">
        <v>472</v>
      </c>
      <c r="D54" s="471"/>
      <c r="E54" s="471">
        <v>5738</v>
      </c>
      <c r="F54" s="86"/>
      <c r="G54" s="464">
        <v>34425</v>
      </c>
      <c r="H54" s="86"/>
      <c r="I54" s="332"/>
      <c r="J54" s="332" t="s">
        <v>462</v>
      </c>
      <c r="K54" s="508">
        <f>DATE(2015,1,26)-DATE(2014,11,5)</f>
        <v>82</v>
      </c>
      <c r="L54" s="89"/>
      <c r="M54" s="86"/>
      <c r="N54" s="86"/>
      <c r="P54" s="86"/>
      <c r="Q54" s="86"/>
      <c r="S54" s="86"/>
      <c r="T54" s="86"/>
      <c r="V54" s="86"/>
      <c r="W54" s="86"/>
      <c r="Y54" s="86"/>
      <c r="Z54" s="86"/>
      <c r="AB54" s="86"/>
      <c r="AC54" s="86"/>
      <c r="AD54" s="90"/>
      <c r="AE54" s="86"/>
      <c r="AF54" s="86"/>
      <c r="AG54" s="86"/>
      <c r="AH54" s="86"/>
      <c r="AI54" s="86"/>
      <c r="AJ54" s="96"/>
      <c r="AK54" s="86"/>
      <c r="AL54" s="86"/>
      <c r="AM54" s="86"/>
      <c r="AN54" s="86"/>
      <c r="AO54" s="86"/>
      <c r="AP54" s="86"/>
    </row>
    <row r="55" spans="1:42">
      <c r="A55" s="86"/>
      <c r="B55" s="499">
        <v>41950</v>
      </c>
      <c r="C55" s="444" t="s">
        <v>383</v>
      </c>
      <c r="D55" s="471"/>
      <c r="E55" s="471">
        <v>5740</v>
      </c>
      <c r="F55" s="86"/>
      <c r="G55" s="490">
        <v>50978.75</v>
      </c>
      <c r="H55" s="86"/>
      <c r="I55" s="332"/>
      <c r="J55" s="332" t="s">
        <v>460</v>
      </c>
      <c r="K55" s="508">
        <f>DATE(2015,1,26)-DATE(2014,11,7)</f>
        <v>80</v>
      </c>
      <c r="L55" s="89"/>
      <c r="M55" s="86"/>
      <c r="N55" s="86"/>
      <c r="P55" s="86"/>
      <c r="Q55" s="86"/>
      <c r="S55" s="86"/>
      <c r="T55" s="86"/>
      <c r="V55" s="86"/>
      <c r="W55" s="86"/>
      <c r="Y55" s="86"/>
      <c r="Z55" s="86"/>
      <c r="AB55" s="86"/>
      <c r="AC55" s="86"/>
      <c r="AD55" s="90"/>
      <c r="AE55" s="86"/>
      <c r="AF55" s="86"/>
      <c r="AG55" s="86"/>
      <c r="AH55" s="86"/>
      <c r="AI55" s="86"/>
      <c r="AJ55" s="96"/>
      <c r="AK55" s="86"/>
      <c r="AL55" s="86"/>
      <c r="AM55" s="86"/>
      <c r="AN55" s="86"/>
      <c r="AO55" s="86"/>
      <c r="AP55" s="86"/>
    </row>
    <row r="56" spans="1:42">
      <c r="A56" s="86"/>
      <c r="B56" s="499">
        <v>41950</v>
      </c>
      <c r="C56" s="444" t="s">
        <v>383</v>
      </c>
      <c r="D56" s="471"/>
      <c r="E56" s="471">
        <v>5741</v>
      </c>
      <c r="F56" s="86"/>
      <c r="G56" s="464">
        <v>1260</v>
      </c>
      <c r="H56" s="86"/>
      <c r="I56" s="332"/>
      <c r="J56" s="332" t="s">
        <v>460</v>
      </c>
      <c r="K56" s="508">
        <f>DATE(2015,1,26)-DATE(2014,11,7)</f>
        <v>80</v>
      </c>
      <c r="L56" s="89"/>
      <c r="M56" s="86"/>
      <c r="N56" s="86"/>
      <c r="P56" s="86"/>
      <c r="Q56" s="86"/>
      <c r="S56" s="86"/>
      <c r="T56" s="86"/>
      <c r="V56" s="86"/>
      <c r="W56" s="86"/>
      <c r="Y56" s="86"/>
      <c r="Z56" s="86"/>
      <c r="AB56" s="86"/>
      <c r="AC56" s="86"/>
      <c r="AD56" s="90"/>
      <c r="AE56" s="86"/>
      <c r="AF56" s="86"/>
      <c r="AG56" s="86"/>
      <c r="AH56" s="86"/>
      <c r="AI56" s="86"/>
      <c r="AJ56" s="96"/>
      <c r="AK56" s="86"/>
      <c r="AL56" s="86"/>
      <c r="AM56" s="86"/>
      <c r="AN56" s="86"/>
      <c r="AO56" s="86"/>
      <c r="AP56" s="86"/>
    </row>
    <row r="57" spans="1:42">
      <c r="A57" s="86"/>
      <c r="B57" s="499">
        <v>41949</v>
      </c>
      <c r="C57" s="444" t="s">
        <v>463</v>
      </c>
      <c r="D57" s="471"/>
      <c r="E57" s="471">
        <v>5743</v>
      </c>
      <c r="F57" s="86"/>
      <c r="G57" s="464">
        <v>6156</v>
      </c>
      <c r="H57" s="86"/>
      <c r="I57" s="332"/>
      <c r="J57" s="332" t="s">
        <v>460</v>
      </c>
      <c r="K57" s="508">
        <f>DATE(2015,1,26)-DATE(2014,11,6)</f>
        <v>81</v>
      </c>
      <c r="L57" s="89"/>
      <c r="M57" s="86"/>
      <c r="N57" s="86"/>
      <c r="P57" s="86"/>
      <c r="Q57" s="86"/>
      <c r="S57" s="86"/>
      <c r="T57" s="86"/>
      <c r="V57" s="86"/>
      <c r="W57" s="86"/>
      <c r="Y57" s="86"/>
      <c r="Z57" s="86"/>
      <c r="AB57" s="86"/>
      <c r="AC57" s="86"/>
      <c r="AD57" s="90"/>
      <c r="AE57" s="86"/>
      <c r="AF57" s="86"/>
      <c r="AG57" s="86"/>
      <c r="AH57" s="86"/>
      <c r="AI57" s="86"/>
      <c r="AJ57" s="96"/>
      <c r="AK57" s="86"/>
      <c r="AL57" s="86"/>
      <c r="AM57" s="86"/>
      <c r="AN57" s="86"/>
      <c r="AO57" s="86"/>
      <c r="AP57" s="86"/>
    </row>
    <row r="58" spans="1:42">
      <c r="A58" s="86"/>
      <c r="B58" s="499">
        <v>41949</v>
      </c>
      <c r="C58" s="444" t="s">
        <v>473</v>
      </c>
      <c r="D58" s="471"/>
      <c r="E58" s="471">
        <v>5744</v>
      </c>
      <c r="F58" s="86"/>
      <c r="G58" s="464">
        <v>22959</v>
      </c>
      <c r="H58" s="86"/>
      <c r="I58" s="86"/>
      <c r="J58" s="86"/>
      <c r="K58" s="508">
        <f>DATE(2015,1,26)-DATE(2014,11,6)</f>
        <v>81</v>
      </c>
      <c r="L58" s="89"/>
      <c r="M58" s="86"/>
      <c r="N58" s="86"/>
      <c r="P58" s="86"/>
      <c r="Q58" s="86"/>
      <c r="S58" s="86"/>
      <c r="T58" s="86"/>
      <c r="V58" s="86"/>
      <c r="W58" s="86"/>
      <c r="Y58" s="86"/>
      <c r="Z58" s="86"/>
      <c r="AB58" s="86"/>
      <c r="AC58" s="86"/>
      <c r="AD58" s="90"/>
      <c r="AE58" s="86"/>
      <c r="AF58" s="86"/>
      <c r="AG58" s="86"/>
      <c r="AH58" s="86"/>
      <c r="AI58" s="86"/>
      <c r="AJ58" s="96"/>
      <c r="AK58" s="86"/>
      <c r="AL58" s="86"/>
      <c r="AM58" s="86"/>
      <c r="AN58" s="86"/>
      <c r="AO58" s="86"/>
      <c r="AP58" s="86"/>
    </row>
    <row r="59" spans="1:42">
      <c r="A59" s="86"/>
      <c r="B59" s="509">
        <v>41949</v>
      </c>
      <c r="C59" s="81" t="s">
        <v>399</v>
      </c>
      <c r="E59" s="346" t="s">
        <v>406</v>
      </c>
      <c r="G59" s="511">
        <v>41403.85</v>
      </c>
      <c r="H59" s="85"/>
      <c r="I59" s="534"/>
      <c r="J59" s="534"/>
      <c r="K59" s="508">
        <f>DATE(2015,1,26)-DATE(2014,11,10)</f>
        <v>77</v>
      </c>
      <c r="L59" s="89"/>
      <c r="M59" s="86"/>
      <c r="N59" s="86"/>
      <c r="P59" s="86"/>
      <c r="Q59" s="86"/>
      <c r="S59" s="86"/>
      <c r="T59" s="86"/>
      <c r="V59" s="86"/>
      <c r="W59" s="86"/>
      <c r="Y59" s="86"/>
      <c r="Z59" s="86"/>
      <c r="AB59" s="86"/>
      <c r="AC59" s="86"/>
      <c r="AD59" s="90"/>
      <c r="AE59" s="86"/>
      <c r="AF59" s="86"/>
      <c r="AG59" s="86"/>
      <c r="AH59" s="86"/>
      <c r="AI59" s="86"/>
      <c r="AJ59" s="96"/>
      <c r="AK59" s="86"/>
      <c r="AL59" s="86"/>
      <c r="AM59" s="86"/>
      <c r="AN59" s="86"/>
      <c r="AO59" s="86"/>
      <c r="AP59" s="86"/>
    </row>
    <row r="60" spans="1:42">
      <c r="A60" s="86"/>
      <c r="B60" s="509"/>
      <c r="E60" s="346" t="s">
        <v>407</v>
      </c>
      <c r="G60" s="511"/>
      <c r="H60" s="85"/>
      <c r="I60" s="534"/>
      <c r="J60" s="534"/>
      <c r="K60" s="508"/>
      <c r="L60" s="89"/>
      <c r="M60" s="86"/>
      <c r="N60" s="86"/>
      <c r="P60" s="86"/>
      <c r="Q60" s="86"/>
      <c r="S60" s="86"/>
      <c r="T60" s="86"/>
      <c r="V60" s="86"/>
      <c r="W60" s="86"/>
      <c r="Y60" s="86"/>
      <c r="Z60" s="86"/>
      <c r="AB60" s="86"/>
      <c r="AC60" s="86"/>
      <c r="AD60" s="90"/>
      <c r="AE60" s="86"/>
      <c r="AF60" s="86"/>
      <c r="AG60" s="86"/>
      <c r="AH60" s="86"/>
      <c r="AI60" s="86"/>
      <c r="AJ60" s="96"/>
      <c r="AK60" s="86"/>
      <c r="AL60" s="86"/>
      <c r="AM60" s="86"/>
      <c r="AN60" s="86"/>
      <c r="AO60" s="86"/>
      <c r="AP60" s="86"/>
    </row>
    <row r="61" spans="1:42">
      <c r="A61" s="86"/>
      <c r="B61" s="499">
        <v>41953</v>
      </c>
      <c r="C61" s="444" t="s">
        <v>474</v>
      </c>
      <c r="D61" s="471"/>
      <c r="E61" s="471">
        <v>5747</v>
      </c>
      <c r="F61" s="86"/>
      <c r="G61" s="464">
        <v>998</v>
      </c>
      <c r="H61" s="86"/>
      <c r="I61" s="332"/>
      <c r="J61" s="332"/>
      <c r="K61" s="508">
        <f>DATE(2015,1,26)-DATE(2014,11,10)</f>
        <v>77</v>
      </c>
      <c r="L61" s="89"/>
      <c r="M61" s="86"/>
      <c r="N61" s="86"/>
      <c r="P61" s="86"/>
      <c r="Q61" s="86"/>
      <c r="S61" s="86"/>
      <c r="T61" s="86"/>
      <c r="V61" s="86"/>
      <c r="W61" s="86"/>
      <c r="Y61" s="86"/>
      <c r="Z61" s="86"/>
      <c r="AB61" s="86"/>
      <c r="AC61" s="86"/>
      <c r="AD61" s="90"/>
      <c r="AE61" s="86"/>
      <c r="AF61" s="86"/>
      <c r="AG61" s="86"/>
      <c r="AH61" s="86"/>
      <c r="AI61" s="86"/>
      <c r="AJ61" s="96"/>
      <c r="AK61" s="86"/>
      <c r="AL61" s="86"/>
      <c r="AM61" s="86"/>
      <c r="AN61" s="86"/>
      <c r="AO61" s="86"/>
      <c r="AP61" s="86"/>
    </row>
    <row r="62" spans="1:42">
      <c r="A62" s="86"/>
      <c r="B62" s="499">
        <v>41954</v>
      </c>
      <c r="C62" s="444" t="s">
        <v>475</v>
      </c>
      <c r="D62" s="81"/>
      <c r="E62" s="84">
        <v>5539</v>
      </c>
      <c r="F62" s="83"/>
      <c r="G62" s="511">
        <v>5772.45</v>
      </c>
      <c r="H62" s="87"/>
      <c r="I62" s="534"/>
      <c r="J62" s="534"/>
      <c r="K62" s="508">
        <f>DATE(2015,1,26)-DATE(2014,11,11)</f>
        <v>76</v>
      </c>
      <c r="L62" s="89"/>
      <c r="M62" s="86"/>
      <c r="N62" s="86"/>
      <c r="P62" s="86"/>
      <c r="Q62" s="86"/>
      <c r="S62" s="86"/>
      <c r="T62" s="86"/>
      <c r="V62" s="86"/>
      <c r="W62" s="86"/>
      <c r="Y62" s="86"/>
      <c r="Z62" s="86"/>
      <c r="AB62" s="86"/>
      <c r="AC62" s="86"/>
      <c r="AD62" s="90"/>
      <c r="AE62" s="86"/>
      <c r="AF62" s="86"/>
      <c r="AG62" s="86"/>
      <c r="AH62" s="86"/>
      <c r="AI62" s="86"/>
      <c r="AJ62" s="96"/>
      <c r="AK62" s="86"/>
      <c r="AL62" s="86"/>
      <c r="AM62" s="86"/>
      <c r="AN62" s="86"/>
      <c r="AO62" s="86"/>
      <c r="AP62" s="86"/>
    </row>
    <row r="63" spans="1:42">
      <c r="A63" s="86"/>
      <c r="B63" s="86"/>
      <c r="C63" s="444"/>
      <c r="D63" s="81"/>
      <c r="E63" s="84" t="s">
        <v>476</v>
      </c>
      <c r="F63" s="83"/>
      <c r="G63" s="511"/>
      <c r="H63" s="87"/>
      <c r="I63" s="534"/>
      <c r="J63" s="534"/>
      <c r="K63" s="508"/>
      <c r="L63" s="89"/>
      <c r="M63" s="86"/>
      <c r="N63" s="86"/>
      <c r="P63" s="86"/>
      <c r="Q63" s="86"/>
      <c r="S63" s="86"/>
      <c r="T63" s="86"/>
      <c r="V63" s="86"/>
      <c r="W63" s="86"/>
      <c r="Y63" s="86"/>
      <c r="Z63" s="86"/>
      <c r="AB63" s="86"/>
      <c r="AC63" s="86"/>
      <c r="AD63" s="90"/>
      <c r="AE63" s="86"/>
      <c r="AF63" s="86"/>
      <c r="AG63" s="86"/>
      <c r="AH63" s="86"/>
      <c r="AI63" s="86"/>
      <c r="AJ63" s="96"/>
      <c r="AK63" s="86"/>
      <c r="AL63" s="86"/>
      <c r="AM63" s="86"/>
      <c r="AN63" s="86"/>
      <c r="AO63" s="86"/>
      <c r="AP63" s="86"/>
    </row>
    <row r="64" spans="1:42">
      <c r="A64" s="86"/>
      <c r="B64" s="499">
        <v>41956</v>
      </c>
      <c r="C64" s="444" t="s">
        <v>477</v>
      </c>
      <c r="D64" s="471"/>
      <c r="E64" s="471">
        <v>5750</v>
      </c>
      <c r="F64" s="86"/>
      <c r="G64" s="464">
        <v>600</v>
      </c>
      <c r="H64" s="86"/>
      <c r="I64" s="332"/>
      <c r="J64" s="332"/>
      <c r="K64" s="508">
        <f>DATE(2015,1,26)-DATE(2014,11,13)</f>
        <v>74</v>
      </c>
      <c r="L64" s="89"/>
      <c r="M64" s="86"/>
      <c r="N64" s="86"/>
      <c r="P64" s="86"/>
      <c r="Q64" s="86"/>
      <c r="S64" s="86"/>
      <c r="T64" s="86"/>
      <c r="V64" s="86"/>
      <c r="W64" s="86"/>
      <c r="Y64" s="86"/>
      <c r="Z64" s="86"/>
      <c r="AB64" s="86"/>
      <c r="AC64" s="86"/>
      <c r="AD64" s="90"/>
      <c r="AE64" s="86"/>
      <c r="AF64" s="86"/>
      <c r="AG64" s="86"/>
      <c r="AH64" s="86"/>
      <c r="AI64" s="86"/>
      <c r="AJ64" s="96"/>
      <c r="AK64" s="86"/>
      <c r="AL64" s="86"/>
      <c r="AM64" s="86"/>
      <c r="AN64" s="86"/>
      <c r="AO64" s="86"/>
      <c r="AP64" s="86"/>
    </row>
    <row r="65" spans="1:42">
      <c r="A65" s="86"/>
      <c r="B65" s="499">
        <v>41962</v>
      </c>
      <c r="C65" s="444" t="s">
        <v>383</v>
      </c>
      <c r="D65" s="86"/>
      <c r="E65" s="471">
        <v>5762</v>
      </c>
      <c r="F65" s="86"/>
      <c r="G65" s="464">
        <v>20391.5</v>
      </c>
      <c r="H65" s="86"/>
      <c r="I65" s="332"/>
      <c r="J65" s="332" t="s">
        <v>460</v>
      </c>
      <c r="K65" s="508">
        <f>DATE(2015,1,26)-DATE(2014,11,13)</f>
        <v>74</v>
      </c>
      <c r="L65" s="89"/>
      <c r="M65" s="86"/>
      <c r="N65" s="86"/>
      <c r="P65" s="86"/>
      <c r="Q65" s="86"/>
      <c r="S65" s="86"/>
      <c r="T65" s="86"/>
      <c r="V65" s="86"/>
      <c r="W65" s="86"/>
      <c r="Y65" s="86"/>
      <c r="Z65" s="86"/>
      <c r="AB65" s="86"/>
      <c r="AC65" s="86"/>
      <c r="AD65" s="90"/>
      <c r="AE65" s="86"/>
      <c r="AF65" s="86"/>
      <c r="AG65" s="86"/>
      <c r="AH65" s="86"/>
      <c r="AI65" s="86"/>
      <c r="AJ65" s="96"/>
      <c r="AK65" s="86"/>
      <c r="AL65" s="86"/>
      <c r="AM65" s="86"/>
      <c r="AN65" s="86"/>
      <c r="AO65" s="86"/>
      <c r="AP65" s="86"/>
    </row>
    <row r="66" spans="1:42">
      <c r="A66" s="86"/>
      <c r="B66" s="499">
        <v>41962</v>
      </c>
      <c r="C66" s="444" t="s">
        <v>478</v>
      </c>
      <c r="D66" s="86"/>
      <c r="E66" s="471">
        <v>5763</v>
      </c>
      <c r="F66" s="86"/>
      <c r="G66" s="464">
        <v>40366.5</v>
      </c>
      <c r="H66" s="86"/>
      <c r="I66" s="332"/>
      <c r="J66" s="332" t="s">
        <v>462</v>
      </c>
      <c r="K66" s="508">
        <f>DATE(2015,1,26)-DATE(2014,11,19)</f>
        <v>68</v>
      </c>
      <c r="L66" s="89"/>
      <c r="M66" s="86"/>
      <c r="N66" s="86"/>
      <c r="P66" s="86"/>
      <c r="Q66" s="86"/>
      <c r="S66" s="86"/>
      <c r="T66" s="86"/>
      <c r="V66" s="86"/>
      <c r="W66" s="86"/>
      <c r="Y66" s="86"/>
      <c r="Z66" s="86"/>
      <c r="AB66" s="86"/>
      <c r="AC66" s="86"/>
      <c r="AD66" s="90"/>
      <c r="AE66" s="86"/>
      <c r="AF66" s="86"/>
      <c r="AG66" s="86"/>
      <c r="AH66" s="86"/>
      <c r="AI66" s="86"/>
      <c r="AJ66" s="96"/>
      <c r="AK66" s="86"/>
      <c r="AL66" s="86"/>
      <c r="AM66" s="86"/>
      <c r="AN66" s="86"/>
      <c r="AO66" s="86"/>
      <c r="AP66" s="86"/>
    </row>
    <row r="67" spans="1:42">
      <c r="A67" s="86"/>
      <c r="B67" s="512">
        <v>41971</v>
      </c>
      <c r="C67" s="444" t="s">
        <v>479</v>
      </c>
      <c r="D67" s="86"/>
      <c r="E67" s="346">
        <v>5781</v>
      </c>
      <c r="F67" s="86"/>
      <c r="G67" s="347">
        <v>1990.25</v>
      </c>
      <c r="H67" s="344"/>
      <c r="I67" s="87"/>
      <c r="J67" s="347"/>
      <c r="K67" s="508">
        <f>DATE(2015,1,26)-DATE(2014,11,28)</f>
        <v>59</v>
      </c>
      <c r="L67" s="89"/>
      <c r="M67" s="86"/>
      <c r="N67" s="86"/>
      <c r="P67" s="86"/>
      <c r="Q67" s="86"/>
      <c r="S67" s="86"/>
      <c r="T67" s="86"/>
      <c r="V67" s="86"/>
      <c r="W67" s="86"/>
      <c r="Y67" s="86"/>
      <c r="Z67" s="86"/>
      <c r="AB67" s="86"/>
      <c r="AC67" s="86"/>
      <c r="AD67" s="90"/>
      <c r="AE67" s="86"/>
      <c r="AF67" s="86"/>
      <c r="AG67" s="86"/>
      <c r="AH67" s="86"/>
      <c r="AI67" s="86"/>
      <c r="AJ67" s="96"/>
      <c r="AK67" s="86"/>
      <c r="AL67" s="86"/>
      <c r="AM67" s="86"/>
      <c r="AN67" s="86"/>
      <c r="AO67" s="86"/>
      <c r="AP67" s="86"/>
    </row>
    <row r="68" spans="1:42">
      <c r="A68" s="86"/>
      <c r="B68" s="512">
        <v>41969</v>
      </c>
      <c r="C68" s="444" t="s">
        <v>383</v>
      </c>
      <c r="D68" s="86"/>
      <c r="E68" s="346">
        <v>5777</v>
      </c>
      <c r="F68" s="83"/>
      <c r="G68" s="347">
        <v>898.2</v>
      </c>
      <c r="H68" s="344"/>
      <c r="I68" s="87"/>
      <c r="J68" s="513" t="s">
        <v>480</v>
      </c>
      <c r="K68" s="508">
        <f>DATE(2015,1,26)-DATE(2014,11,26)</f>
        <v>61</v>
      </c>
      <c r="L68" s="89"/>
      <c r="M68" s="86"/>
      <c r="N68" s="86"/>
      <c r="P68" s="86"/>
      <c r="Q68" s="86"/>
      <c r="S68" s="86"/>
      <c r="T68" s="86"/>
      <c r="V68" s="86"/>
      <c r="W68" s="86"/>
      <c r="Y68" s="86"/>
      <c r="Z68" s="86"/>
      <c r="AB68" s="86"/>
      <c r="AC68" s="86"/>
      <c r="AD68" s="90"/>
      <c r="AE68" s="86"/>
      <c r="AF68" s="86"/>
      <c r="AG68" s="86"/>
      <c r="AH68" s="86"/>
      <c r="AI68" s="86"/>
      <c r="AJ68" s="96"/>
      <c r="AK68" s="86"/>
      <c r="AL68" s="86"/>
      <c r="AM68" s="86"/>
      <c r="AN68" s="86"/>
      <c r="AO68" s="86"/>
      <c r="AP68" s="86"/>
    </row>
    <row r="69" spans="1:42">
      <c r="A69" s="86"/>
      <c r="B69" s="512">
        <v>41975</v>
      </c>
      <c r="C69" s="444" t="s">
        <v>481</v>
      </c>
      <c r="D69" s="86"/>
      <c r="E69" s="346">
        <v>5785</v>
      </c>
      <c r="F69" s="83"/>
      <c r="G69" s="347">
        <v>5706</v>
      </c>
      <c r="H69" s="344"/>
      <c r="I69" s="87"/>
      <c r="J69" s="513" t="s">
        <v>480</v>
      </c>
      <c r="K69" s="533">
        <f>DATE(2015,1,26)-DATE(2014,12,2)</f>
        <v>55</v>
      </c>
      <c r="L69" s="89"/>
      <c r="M69" s="86"/>
      <c r="N69" s="86"/>
      <c r="P69" s="86"/>
      <c r="Q69" s="86"/>
      <c r="S69" s="86"/>
      <c r="T69" s="86"/>
      <c r="V69" s="86"/>
      <c r="W69" s="86"/>
      <c r="Y69" s="86"/>
      <c r="Z69" s="86"/>
      <c r="AB69" s="86"/>
      <c r="AC69" s="86"/>
      <c r="AD69" s="90"/>
      <c r="AE69" s="86"/>
      <c r="AF69" s="86"/>
      <c r="AG69" s="86"/>
      <c r="AH69" s="86"/>
      <c r="AI69" s="86"/>
      <c r="AJ69" s="96"/>
      <c r="AK69" s="86"/>
      <c r="AL69" s="86"/>
      <c r="AM69" s="86"/>
      <c r="AN69" s="86"/>
      <c r="AO69" s="86"/>
      <c r="AP69" s="86"/>
    </row>
    <row r="70" spans="1:42">
      <c r="A70" s="86"/>
      <c r="B70" s="512"/>
      <c r="C70" s="444"/>
      <c r="D70" s="86"/>
      <c r="E70" s="346" t="s">
        <v>482</v>
      </c>
      <c r="F70" s="83"/>
      <c r="G70" s="347">
        <v>1530</v>
      </c>
      <c r="H70" s="344"/>
      <c r="I70" s="87"/>
      <c r="J70" s="347"/>
      <c r="K70" s="533"/>
      <c r="L70" s="89"/>
      <c r="M70" s="86"/>
      <c r="N70" s="86"/>
      <c r="P70" s="86"/>
      <c r="Q70" s="86"/>
      <c r="S70" s="86"/>
      <c r="T70" s="86"/>
      <c r="V70" s="86"/>
      <c r="W70" s="86"/>
      <c r="Y70" s="86"/>
      <c r="Z70" s="86"/>
      <c r="AB70" s="86"/>
      <c r="AC70" s="86"/>
      <c r="AD70" s="90"/>
      <c r="AE70" s="86"/>
      <c r="AF70" s="86"/>
      <c r="AG70" s="86"/>
      <c r="AH70" s="86"/>
      <c r="AI70" s="86"/>
      <c r="AJ70" s="96"/>
      <c r="AK70" s="86"/>
      <c r="AL70" s="86"/>
      <c r="AM70" s="86"/>
      <c r="AN70" s="86"/>
      <c r="AO70" s="86"/>
      <c r="AP70" s="86"/>
    </row>
    <row r="71" spans="1:42">
      <c r="A71" s="86"/>
      <c r="B71" s="512">
        <v>41976</v>
      </c>
      <c r="C71" s="444" t="s">
        <v>383</v>
      </c>
      <c r="D71" s="86"/>
      <c r="E71" s="346">
        <v>5786</v>
      </c>
      <c r="F71" s="83"/>
      <c r="G71" s="347">
        <v>7182</v>
      </c>
      <c r="H71" s="344"/>
      <c r="I71" s="87"/>
      <c r="J71" s="513" t="s">
        <v>480</v>
      </c>
      <c r="K71" s="508">
        <f>DATE(2015,1,26)-DATE(2014,12,3)</f>
        <v>54</v>
      </c>
      <c r="L71" s="89"/>
      <c r="M71" s="86"/>
      <c r="N71" s="86"/>
      <c r="P71" s="86"/>
      <c r="Q71" s="86"/>
      <c r="S71" s="86"/>
      <c r="T71" s="86"/>
      <c r="V71" s="86"/>
      <c r="W71" s="86"/>
      <c r="Y71" s="86"/>
      <c r="Z71" s="86"/>
      <c r="AB71" s="86"/>
      <c r="AC71" s="86"/>
      <c r="AD71" s="90"/>
      <c r="AE71" s="86"/>
      <c r="AF71" s="86"/>
      <c r="AG71" s="86"/>
      <c r="AH71" s="86"/>
      <c r="AI71" s="86"/>
      <c r="AJ71" s="96"/>
      <c r="AK71" s="86"/>
      <c r="AL71" s="86"/>
      <c r="AM71" s="86"/>
      <c r="AN71" s="86"/>
      <c r="AO71" s="86"/>
      <c r="AP71" s="86"/>
    </row>
    <row r="72" spans="1:42">
      <c r="A72" s="86"/>
      <c r="B72" s="512">
        <v>41978</v>
      </c>
      <c r="C72" s="444" t="s">
        <v>483</v>
      </c>
      <c r="D72" s="83"/>
      <c r="E72" s="346">
        <v>5793</v>
      </c>
      <c r="F72" s="83"/>
      <c r="G72" s="347">
        <v>11995</v>
      </c>
      <c r="H72" s="344"/>
      <c r="I72" s="87"/>
      <c r="J72" s="535" t="s">
        <v>480</v>
      </c>
      <c r="K72" s="533">
        <f>DATE(2015,1,26)-DATE(2014,12,5)</f>
        <v>52</v>
      </c>
      <c r="L72" s="89"/>
      <c r="M72" s="86"/>
      <c r="N72" s="86"/>
      <c r="P72" s="86"/>
      <c r="Q72" s="86"/>
      <c r="S72" s="86"/>
      <c r="T72" s="86"/>
      <c r="V72" s="86"/>
      <c r="W72" s="86"/>
      <c r="Y72" s="86"/>
      <c r="Z72" s="86"/>
      <c r="AB72" s="86"/>
      <c r="AC72" s="86"/>
      <c r="AD72" s="90"/>
      <c r="AE72" s="86"/>
      <c r="AF72" s="86"/>
      <c r="AG72" s="86"/>
      <c r="AH72" s="86"/>
      <c r="AI72" s="86"/>
      <c r="AJ72" s="96"/>
      <c r="AK72" s="86"/>
      <c r="AL72" s="86"/>
      <c r="AM72" s="86"/>
      <c r="AN72" s="86"/>
      <c r="AO72" s="86"/>
      <c r="AP72" s="86"/>
    </row>
    <row r="73" spans="1:42">
      <c r="A73" s="86"/>
      <c r="B73" s="86"/>
      <c r="C73" s="86"/>
      <c r="D73" s="86"/>
      <c r="E73" s="346" t="s">
        <v>484</v>
      </c>
      <c r="F73" s="83"/>
      <c r="G73" s="347">
        <v>2000</v>
      </c>
      <c r="H73" s="344"/>
      <c r="I73" s="87"/>
      <c r="J73" s="535"/>
      <c r="K73" s="533"/>
      <c r="L73" s="89"/>
      <c r="M73" s="86"/>
      <c r="N73" s="86"/>
      <c r="P73" s="86"/>
      <c r="Q73" s="86"/>
      <c r="S73" s="86"/>
      <c r="T73" s="86"/>
      <c r="V73" s="86"/>
      <c r="W73" s="86"/>
      <c r="Y73" s="86"/>
      <c r="Z73" s="86"/>
      <c r="AB73" s="86"/>
      <c r="AC73" s="86"/>
      <c r="AD73" s="90"/>
      <c r="AE73" s="86"/>
      <c r="AF73" s="86"/>
      <c r="AG73" s="86"/>
      <c r="AH73" s="86"/>
      <c r="AI73" s="86"/>
      <c r="AJ73" s="96"/>
      <c r="AK73" s="86"/>
      <c r="AL73" s="86"/>
      <c r="AM73" s="86"/>
      <c r="AN73" s="86"/>
      <c r="AO73" s="86"/>
      <c r="AP73" s="86"/>
    </row>
    <row r="74" spans="1:42">
      <c r="A74" s="86"/>
      <c r="B74" s="512">
        <v>41979</v>
      </c>
      <c r="C74" s="444" t="s">
        <v>485</v>
      </c>
      <c r="D74" s="86"/>
      <c r="E74" s="88">
        <v>5794</v>
      </c>
      <c r="F74" s="83"/>
      <c r="G74" s="532">
        <v>8282.5400000000009</v>
      </c>
      <c r="H74" s="344"/>
      <c r="I74" s="87"/>
      <c r="J74" s="513"/>
      <c r="K74" s="508"/>
      <c r="L74" s="89"/>
      <c r="M74" s="86"/>
      <c r="N74" s="86"/>
      <c r="P74" s="86"/>
      <c r="Q74" s="86"/>
      <c r="S74" s="86"/>
      <c r="T74" s="86"/>
      <c r="V74" s="86"/>
      <c r="W74" s="86"/>
      <c r="Y74" s="86"/>
      <c r="Z74" s="86"/>
      <c r="AB74" s="86"/>
      <c r="AC74" s="86"/>
      <c r="AD74" s="90"/>
      <c r="AE74" s="86"/>
      <c r="AF74" s="86"/>
      <c r="AG74" s="86"/>
      <c r="AH74" s="86"/>
      <c r="AI74" s="86"/>
      <c r="AJ74" s="96"/>
      <c r="AK74" s="86"/>
      <c r="AL74" s="86"/>
      <c r="AM74" s="86"/>
      <c r="AN74" s="86"/>
      <c r="AO74" s="86"/>
      <c r="AP74" s="86"/>
    </row>
    <row r="75" spans="1:42">
      <c r="A75" s="86"/>
      <c r="B75" s="512"/>
      <c r="C75" s="444"/>
      <c r="D75" s="86"/>
      <c r="E75" s="346" t="s">
        <v>486</v>
      </c>
      <c r="F75" s="83"/>
      <c r="G75" s="532"/>
      <c r="H75" s="344"/>
      <c r="I75" s="87"/>
      <c r="J75" s="513"/>
      <c r="K75" s="508">
        <f>DATE(2015,1,26)-DATE(2014,12,6)</f>
        <v>51</v>
      </c>
      <c r="L75" s="89"/>
      <c r="M75" s="86"/>
      <c r="N75" s="86"/>
      <c r="P75" s="86"/>
      <c r="Q75" s="86"/>
      <c r="S75" s="86"/>
      <c r="T75" s="86"/>
      <c r="V75" s="86"/>
      <c r="W75" s="86"/>
      <c r="Y75" s="86"/>
      <c r="Z75" s="86"/>
      <c r="AB75" s="86"/>
      <c r="AC75" s="86"/>
      <c r="AD75" s="90"/>
      <c r="AE75" s="86"/>
      <c r="AF75" s="86"/>
      <c r="AG75" s="86"/>
      <c r="AH75" s="86"/>
      <c r="AI75" s="86"/>
      <c r="AJ75" s="96"/>
      <c r="AK75" s="86"/>
      <c r="AL75" s="86"/>
      <c r="AM75" s="86"/>
      <c r="AN75" s="86"/>
      <c r="AO75" s="86"/>
      <c r="AP75" s="86"/>
    </row>
    <row r="76" spans="1:42">
      <c r="A76" s="86"/>
      <c r="B76" s="512">
        <v>41983</v>
      </c>
      <c r="C76" s="444" t="s">
        <v>487</v>
      </c>
      <c r="D76" s="86"/>
      <c r="E76" s="346">
        <v>5797</v>
      </c>
      <c r="F76" s="83"/>
      <c r="G76" s="347">
        <v>20391.5</v>
      </c>
      <c r="H76" s="344"/>
      <c r="I76" s="87"/>
      <c r="J76" s="513" t="s">
        <v>488</v>
      </c>
      <c r="K76" s="508">
        <f>DATE(2015,1,26)-DATE(2014,12,11)</f>
        <v>46</v>
      </c>
      <c r="L76" s="89"/>
      <c r="M76" s="86"/>
      <c r="N76" s="86"/>
      <c r="P76" s="86"/>
      <c r="Q76" s="86"/>
      <c r="S76" s="86"/>
      <c r="T76" s="86"/>
      <c r="V76" s="86"/>
      <c r="W76" s="86"/>
      <c r="Y76" s="86"/>
      <c r="Z76" s="86"/>
      <c r="AB76" s="86"/>
      <c r="AC76" s="86"/>
      <c r="AD76" s="90"/>
      <c r="AE76" s="86"/>
      <c r="AF76" s="86"/>
      <c r="AG76" s="86"/>
      <c r="AH76" s="86"/>
      <c r="AI76" s="86"/>
      <c r="AJ76" s="96"/>
      <c r="AK76" s="86"/>
      <c r="AL76" s="86"/>
      <c r="AM76" s="86"/>
      <c r="AN76" s="86"/>
      <c r="AO76" s="86"/>
      <c r="AP76" s="86"/>
    </row>
    <row r="77" spans="1:42">
      <c r="A77" s="86"/>
      <c r="B77" s="512">
        <v>41984</v>
      </c>
      <c r="C77" s="444" t="s">
        <v>489</v>
      </c>
      <c r="D77" s="86"/>
      <c r="E77" s="346">
        <v>5800</v>
      </c>
      <c r="F77" s="83"/>
      <c r="G77" s="347">
        <v>9255</v>
      </c>
      <c r="H77" s="344"/>
      <c r="I77" s="87"/>
      <c r="J77" s="347"/>
      <c r="K77" s="533">
        <f>DATE(2015,1,26)-DATE(2014,12,15)</f>
        <v>42</v>
      </c>
      <c r="L77" s="89"/>
      <c r="M77" s="86"/>
      <c r="N77" s="86"/>
      <c r="P77" s="86"/>
      <c r="Q77" s="86"/>
      <c r="S77" s="86"/>
      <c r="T77" s="86"/>
      <c r="V77" s="86"/>
      <c r="W77" s="86"/>
      <c r="Y77" s="86"/>
      <c r="Z77" s="86"/>
      <c r="AB77" s="86"/>
      <c r="AC77" s="86"/>
      <c r="AD77" s="90"/>
      <c r="AE77" s="86"/>
      <c r="AF77" s="86"/>
      <c r="AG77" s="86"/>
      <c r="AH77" s="86"/>
      <c r="AI77" s="86"/>
      <c r="AJ77" s="96"/>
      <c r="AK77" s="86"/>
      <c r="AL77" s="86"/>
      <c r="AM77" s="86"/>
      <c r="AN77" s="86"/>
      <c r="AO77" s="86"/>
      <c r="AP77" s="86"/>
    </row>
    <row r="78" spans="1:42">
      <c r="A78" s="86"/>
      <c r="B78" s="512"/>
      <c r="C78" s="444"/>
      <c r="D78" s="83"/>
      <c r="E78" s="86"/>
      <c r="F78" s="83"/>
      <c r="G78" s="347">
        <v>4000</v>
      </c>
      <c r="H78" s="344"/>
      <c r="I78" s="87"/>
      <c r="J78" s="347"/>
      <c r="K78" s="533"/>
      <c r="L78" s="89"/>
      <c r="M78" s="86"/>
      <c r="N78" s="86"/>
      <c r="P78" s="86"/>
      <c r="Q78" s="86"/>
      <c r="S78" s="86"/>
      <c r="T78" s="86"/>
      <c r="V78" s="86"/>
      <c r="W78" s="86"/>
      <c r="Y78" s="86"/>
      <c r="Z78" s="86"/>
      <c r="AB78" s="86"/>
      <c r="AC78" s="86"/>
      <c r="AD78" s="90"/>
      <c r="AE78" s="86"/>
      <c r="AF78" s="86"/>
      <c r="AG78" s="86"/>
      <c r="AH78" s="86"/>
      <c r="AI78" s="86"/>
      <c r="AJ78" s="96"/>
      <c r="AK78" s="86"/>
      <c r="AL78" s="86"/>
      <c r="AM78" s="86"/>
      <c r="AN78" s="86"/>
      <c r="AO78" s="86"/>
      <c r="AP78" s="86"/>
    </row>
    <row r="79" spans="1:42">
      <c r="A79" s="86"/>
      <c r="B79" s="512">
        <v>41988</v>
      </c>
      <c r="C79" s="444" t="s">
        <v>490</v>
      </c>
      <c r="D79" s="86"/>
      <c r="E79" s="346">
        <v>5804</v>
      </c>
      <c r="F79" s="83"/>
      <c r="G79" s="347">
        <v>21687.5</v>
      </c>
      <c r="H79" s="344"/>
      <c r="I79" s="87"/>
      <c r="J79" s="347"/>
      <c r="K79" s="508">
        <f>DATE(2015,1,26)-DATE(2014,12,15)</f>
        <v>42</v>
      </c>
      <c r="L79" s="89"/>
      <c r="M79" s="86"/>
      <c r="N79" s="86"/>
      <c r="P79" s="86"/>
      <c r="Q79" s="86"/>
      <c r="S79" s="86"/>
      <c r="T79" s="86"/>
      <c r="V79" s="86"/>
      <c r="W79" s="86"/>
      <c r="Y79" s="86"/>
      <c r="Z79" s="86"/>
      <c r="AB79" s="86"/>
      <c r="AC79" s="86"/>
      <c r="AD79" s="90"/>
      <c r="AE79" s="86"/>
      <c r="AF79" s="86"/>
      <c r="AG79" s="86"/>
      <c r="AH79" s="86"/>
      <c r="AI79" s="86"/>
      <c r="AJ79" s="96"/>
      <c r="AK79" s="86"/>
      <c r="AL79" s="86"/>
      <c r="AM79" s="86"/>
      <c r="AN79" s="86"/>
      <c r="AO79" s="86"/>
      <c r="AP79" s="86"/>
    </row>
    <row r="80" spans="1:42" s="97" customFormat="1" ht="12.75" customHeight="1">
      <c r="A80" s="86"/>
      <c r="B80" s="512">
        <v>41988</v>
      </c>
      <c r="C80" s="444" t="s">
        <v>491</v>
      </c>
      <c r="D80" s="86"/>
      <c r="E80" s="346">
        <v>5806</v>
      </c>
      <c r="F80" s="83"/>
      <c r="G80" s="347">
        <v>45045.75</v>
      </c>
      <c r="H80" s="344"/>
      <c r="I80" s="87"/>
      <c r="J80" s="513" t="s">
        <v>480</v>
      </c>
      <c r="K80" s="508">
        <f>DATE(2015,1,26)-DATE(2014,12,15)</f>
        <v>42</v>
      </c>
      <c r="L80" s="342"/>
      <c r="AD80" s="106"/>
      <c r="AJ80" s="494"/>
    </row>
    <row r="81" spans="1:39" s="100" customFormat="1" ht="13.5" thickBot="1">
      <c r="A81" s="86"/>
      <c r="B81" s="512">
        <v>41989</v>
      </c>
      <c r="C81" s="444" t="s">
        <v>492</v>
      </c>
      <c r="D81" s="86"/>
      <c r="E81" s="346">
        <v>5808</v>
      </c>
      <c r="F81" s="83"/>
      <c r="G81" s="347">
        <v>24916.5</v>
      </c>
      <c r="H81" s="344"/>
      <c r="I81" s="87"/>
      <c r="J81" s="347"/>
      <c r="K81" s="508">
        <f>DATE(2015,1,26)-DATE(2014,12,16)</f>
        <v>41</v>
      </c>
      <c r="M81" s="100" t="s">
        <v>7</v>
      </c>
      <c r="N81" s="101" t="e">
        <f>SUM(#REF!)</f>
        <v>#REF!</v>
      </c>
      <c r="P81" s="100" t="s">
        <v>7</v>
      </c>
      <c r="Q81" s="101" t="e">
        <f>SUM(#REF!)</f>
        <v>#REF!</v>
      </c>
      <c r="S81" s="100" t="s">
        <v>7</v>
      </c>
      <c r="T81" s="101" t="e">
        <f>SUM(#REF!)</f>
        <v>#REF!</v>
      </c>
      <c r="V81" s="100" t="s">
        <v>7</v>
      </c>
      <c r="W81" s="101" t="e">
        <f>SUM(#REF!)</f>
        <v>#REF!</v>
      </c>
      <c r="Y81" s="100" t="s">
        <v>7</v>
      </c>
      <c r="Z81" s="101" t="e">
        <f>SUM(#REF!)</f>
        <v>#REF!</v>
      </c>
    </row>
    <row r="82" spans="1:39" ht="13.5" thickTop="1">
      <c r="A82" s="86"/>
      <c r="B82" s="512">
        <v>41989</v>
      </c>
      <c r="C82" s="444" t="s">
        <v>493</v>
      </c>
      <c r="D82" s="86"/>
      <c r="E82" s="346">
        <v>5809</v>
      </c>
      <c r="F82" s="83"/>
      <c r="G82" s="347">
        <v>3955.9</v>
      </c>
      <c r="H82" s="344"/>
      <c r="I82" s="87"/>
      <c r="J82" s="513" t="s">
        <v>480</v>
      </c>
      <c r="K82" s="508">
        <f>DATE(2015,1,26)-DATE(2014,12,16)</f>
        <v>41</v>
      </c>
      <c r="M82" s="86"/>
      <c r="N82" s="93"/>
      <c r="P82" s="86"/>
      <c r="Q82" s="93"/>
      <c r="S82" s="86"/>
      <c r="T82" s="93"/>
      <c r="V82" s="86"/>
      <c r="W82" s="93"/>
      <c r="Y82" s="86"/>
      <c r="Z82" s="93"/>
      <c r="AA82" s="90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</row>
    <row r="83" spans="1:39">
      <c r="A83" s="86"/>
      <c r="B83" s="512">
        <v>41990</v>
      </c>
      <c r="C83" s="444" t="s">
        <v>494</v>
      </c>
      <c r="D83" s="86"/>
      <c r="E83" s="346">
        <v>5810</v>
      </c>
      <c r="F83" s="83"/>
      <c r="G83" s="347">
        <v>116231.55</v>
      </c>
      <c r="H83" s="344"/>
      <c r="I83" s="87"/>
      <c r="J83" s="347"/>
      <c r="K83" s="508">
        <f>DATE(2015,1,26)-DATE(2014,12,17)</f>
        <v>40</v>
      </c>
      <c r="M83" s="86"/>
      <c r="N83" s="93"/>
      <c r="P83" s="86"/>
      <c r="Q83" s="93"/>
      <c r="S83" s="86"/>
      <c r="T83" s="93"/>
      <c r="V83" s="86"/>
      <c r="W83" s="93"/>
      <c r="Y83" s="86"/>
      <c r="Z83" s="93"/>
      <c r="AA83" s="90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</row>
    <row r="84" spans="1:39">
      <c r="A84" s="86"/>
      <c r="B84" s="512">
        <v>41991</v>
      </c>
      <c r="C84" s="444" t="s">
        <v>495</v>
      </c>
      <c r="D84" s="86"/>
      <c r="E84" s="88">
        <v>5812</v>
      </c>
      <c r="F84" s="83"/>
      <c r="G84" s="347">
        <v>15813.6</v>
      </c>
      <c r="H84" s="344"/>
      <c r="I84" s="87"/>
      <c r="J84" s="347"/>
      <c r="K84" s="508">
        <f t="shared" ref="K84:K95" si="0">DATE(2015,1,26)-DATE(2014,12,18)</f>
        <v>39</v>
      </c>
      <c r="M84" s="86"/>
      <c r="N84" s="93"/>
      <c r="P84" s="86"/>
      <c r="Q84" s="93"/>
      <c r="S84" s="86"/>
      <c r="T84" s="93"/>
      <c r="V84" s="86"/>
      <c r="W84" s="93"/>
      <c r="Y84" s="86"/>
      <c r="Z84" s="93"/>
      <c r="AA84" s="90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</row>
    <row r="85" spans="1:39">
      <c r="A85" s="86"/>
      <c r="B85" s="512">
        <v>41991</v>
      </c>
      <c r="C85" s="444" t="s">
        <v>495</v>
      </c>
      <c r="D85" s="86"/>
      <c r="E85" s="88">
        <v>5813</v>
      </c>
      <c r="F85" s="83"/>
      <c r="G85" s="347">
        <v>15813.6</v>
      </c>
      <c r="H85" s="344"/>
      <c r="I85" s="87"/>
      <c r="J85" s="347"/>
      <c r="K85" s="508">
        <f t="shared" si="0"/>
        <v>39</v>
      </c>
      <c r="M85" s="86"/>
      <c r="N85" s="93"/>
      <c r="P85" s="86"/>
      <c r="Q85" s="93"/>
      <c r="S85" s="86"/>
      <c r="T85" s="93"/>
      <c r="V85" s="86"/>
      <c r="W85" s="93"/>
      <c r="Y85" s="86"/>
      <c r="Z85" s="93"/>
      <c r="AA85" s="90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</row>
    <row r="86" spans="1:39">
      <c r="A86" s="86"/>
      <c r="B86" s="512">
        <v>41991</v>
      </c>
      <c r="C86" s="444" t="s">
        <v>495</v>
      </c>
      <c r="D86" s="86"/>
      <c r="E86" s="88">
        <v>5814</v>
      </c>
      <c r="F86" s="83"/>
      <c r="G86" s="347">
        <v>16313.6</v>
      </c>
      <c r="H86" s="344"/>
      <c r="I86" s="87"/>
      <c r="J86" s="347"/>
      <c r="K86" s="508">
        <f t="shared" si="0"/>
        <v>39</v>
      </c>
      <c r="M86" s="86"/>
      <c r="N86" s="93"/>
      <c r="P86" s="86"/>
      <c r="Q86" s="93"/>
      <c r="S86" s="86"/>
      <c r="T86" s="93"/>
      <c r="V86" s="86"/>
      <c r="W86" s="93"/>
      <c r="Y86" s="86"/>
      <c r="Z86" s="93"/>
      <c r="AA86" s="90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</row>
    <row r="87" spans="1:39">
      <c r="A87" s="86"/>
      <c r="B87" s="512">
        <v>41991</v>
      </c>
      <c r="C87" s="444" t="s">
        <v>495</v>
      </c>
      <c r="D87" s="86"/>
      <c r="E87" s="88">
        <v>5815</v>
      </c>
      <c r="F87" s="83"/>
      <c r="G87" s="347">
        <v>16813.599999999999</v>
      </c>
      <c r="H87" s="344"/>
      <c r="I87" s="87"/>
      <c r="J87" s="347"/>
      <c r="K87" s="508">
        <f t="shared" si="0"/>
        <v>39</v>
      </c>
      <c r="AA87" s="86"/>
      <c r="AB87" s="86"/>
      <c r="AC87" s="86"/>
      <c r="AD87" s="86"/>
      <c r="AE87" s="86"/>
      <c r="AF87" s="86"/>
      <c r="AG87" s="95"/>
      <c r="AH87" s="86"/>
      <c r="AI87" s="86"/>
      <c r="AJ87" s="86"/>
      <c r="AK87" s="86"/>
      <c r="AL87" s="86"/>
      <c r="AM87" s="86"/>
    </row>
    <row r="88" spans="1:39">
      <c r="A88" s="86"/>
      <c r="B88" s="512">
        <v>41991</v>
      </c>
      <c r="C88" s="444" t="s">
        <v>495</v>
      </c>
      <c r="D88" s="86"/>
      <c r="E88" s="88">
        <v>5816</v>
      </c>
      <c r="F88" s="83"/>
      <c r="G88" s="347">
        <v>16313.6</v>
      </c>
      <c r="H88" s="344"/>
      <c r="I88" s="87"/>
      <c r="J88" s="347"/>
      <c r="K88" s="508">
        <f t="shared" si="0"/>
        <v>39</v>
      </c>
      <c r="AA88" s="90"/>
      <c r="AB88" s="86"/>
      <c r="AC88" s="86"/>
      <c r="AD88" s="86"/>
      <c r="AE88" s="86"/>
      <c r="AF88" s="86"/>
      <c r="AG88" s="96"/>
      <c r="AH88" s="86"/>
      <c r="AI88" s="86"/>
      <c r="AJ88" s="86"/>
      <c r="AK88" s="86"/>
      <c r="AL88" s="86"/>
      <c r="AM88" s="86"/>
    </row>
    <row r="89" spans="1:39">
      <c r="A89" s="86"/>
      <c r="B89" s="512">
        <v>41991</v>
      </c>
      <c r="C89" s="444" t="s">
        <v>495</v>
      </c>
      <c r="D89" s="86"/>
      <c r="E89" s="88">
        <v>5817</v>
      </c>
      <c r="F89" s="83"/>
      <c r="G89" s="347">
        <v>15813.6</v>
      </c>
      <c r="H89" s="344"/>
      <c r="I89" s="87"/>
      <c r="J89" s="347"/>
      <c r="K89" s="508">
        <f t="shared" si="0"/>
        <v>39</v>
      </c>
      <c r="M89" s="97"/>
      <c r="N89" s="97"/>
      <c r="P89" s="97"/>
      <c r="Q89" s="97"/>
      <c r="S89" s="97"/>
      <c r="T89" s="97"/>
      <c r="V89" s="97"/>
      <c r="W89" s="97"/>
      <c r="Y89" s="97"/>
      <c r="Z89" s="97"/>
      <c r="AA89" s="90"/>
      <c r="AB89" s="86"/>
      <c r="AC89" s="86"/>
      <c r="AD89" s="86"/>
      <c r="AE89" s="86"/>
      <c r="AF89" s="86"/>
      <c r="AG89" s="96"/>
      <c r="AH89" s="86"/>
      <c r="AI89" s="86"/>
      <c r="AJ89" s="86"/>
      <c r="AK89" s="86"/>
      <c r="AL89" s="86"/>
      <c r="AM89" s="86"/>
    </row>
    <row r="90" spans="1:39" s="86" customFormat="1">
      <c r="B90" s="512">
        <v>41991</v>
      </c>
      <c r="C90" s="444" t="s">
        <v>495</v>
      </c>
      <c r="E90" s="88">
        <v>5818</v>
      </c>
      <c r="F90" s="83"/>
      <c r="G90" s="347">
        <v>15813.6</v>
      </c>
      <c r="H90" s="344"/>
      <c r="I90" s="87"/>
      <c r="J90" s="347"/>
      <c r="K90" s="508">
        <f t="shared" si="0"/>
        <v>39</v>
      </c>
      <c r="N90" s="93"/>
      <c r="Q90" s="93"/>
      <c r="T90" s="93"/>
      <c r="W90" s="93"/>
      <c r="Z90" s="93"/>
      <c r="AA90" s="93"/>
    </row>
    <row r="91" spans="1:39" s="86" customFormat="1">
      <c r="B91" s="512">
        <v>41991</v>
      </c>
      <c r="C91" s="444" t="s">
        <v>495</v>
      </c>
      <c r="E91" s="88">
        <v>5819</v>
      </c>
      <c r="F91" s="83"/>
      <c r="G91" s="347">
        <v>16313.6</v>
      </c>
      <c r="H91" s="344"/>
      <c r="I91" s="87"/>
      <c r="J91" s="347"/>
      <c r="K91" s="508">
        <f t="shared" si="0"/>
        <v>39</v>
      </c>
      <c r="N91" s="93"/>
      <c r="Q91" s="93"/>
      <c r="T91" s="93"/>
      <c r="W91" s="93"/>
      <c r="Z91" s="93"/>
      <c r="AA91" s="93"/>
    </row>
    <row r="92" spans="1:39" s="86" customFormat="1">
      <c r="B92" s="512">
        <v>41991</v>
      </c>
      <c r="C92" s="444" t="s">
        <v>495</v>
      </c>
      <c r="E92" s="88">
        <v>5820</v>
      </c>
      <c r="F92" s="83"/>
      <c r="G92" s="347">
        <v>16313.6</v>
      </c>
      <c r="H92" s="344"/>
      <c r="I92" s="87"/>
      <c r="J92" s="347"/>
      <c r="K92" s="508">
        <f t="shared" si="0"/>
        <v>39</v>
      </c>
      <c r="N92" s="93"/>
      <c r="Q92" s="93"/>
      <c r="T92" s="93"/>
      <c r="W92" s="93"/>
      <c r="Z92" s="93"/>
      <c r="AA92" s="93"/>
    </row>
    <row r="93" spans="1:39" s="86" customFormat="1">
      <c r="B93" s="512">
        <v>41991</v>
      </c>
      <c r="C93" s="444" t="s">
        <v>495</v>
      </c>
      <c r="E93" s="88">
        <v>5821</v>
      </c>
      <c r="F93" s="83"/>
      <c r="G93" s="347">
        <v>15813.6</v>
      </c>
      <c r="H93" s="344"/>
      <c r="I93" s="87"/>
      <c r="J93" s="347"/>
      <c r="K93" s="508">
        <f t="shared" si="0"/>
        <v>39</v>
      </c>
      <c r="N93" s="93"/>
      <c r="Q93" s="93"/>
      <c r="T93" s="93"/>
      <c r="W93" s="93"/>
      <c r="Z93" s="93"/>
      <c r="AA93" s="93"/>
    </row>
    <row r="94" spans="1:39" s="86" customFormat="1">
      <c r="B94" s="512">
        <v>41991</v>
      </c>
      <c r="C94" s="444" t="s">
        <v>495</v>
      </c>
      <c r="E94" s="88">
        <v>5822</v>
      </c>
      <c r="F94" s="83"/>
      <c r="G94" s="347">
        <v>15813.6</v>
      </c>
      <c r="H94" s="344"/>
      <c r="I94" s="87"/>
      <c r="J94" s="347"/>
      <c r="K94" s="508">
        <f t="shared" si="0"/>
        <v>39</v>
      </c>
      <c r="N94" s="93"/>
      <c r="Q94" s="93"/>
      <c r="T94" s="93"/>
      <c r="W94" s="93"/>
      <c r="Z94" s="93"/>
      <c r="AA94" s="93"/>
    </row>
    <row r="95" spans="1:39" s="86" customFormat="1">
      <c r="B95" s="512">
        <v>41991</v>
      </c>
      <c r="C95" s="444" t="s">
        <v>495</v>
      </c>
      <c r="E95" s="88">
        <v>5823</v>
      </c>
      <c r="F95" s="83"/>
      <c r="G95" s="347">
        <v>16313.6</v>
      </c>
      <c r="H95" s="344"/>
      <c r="I95" s="87"/>
      <c r="J95" s="347"/>
      <c r="K95" s="508">
        <f t="shared" si="0"/>
        <v>39</v>
      </c>
      <c r="N95" s="93"/>
      <c r="Q95" s="93"/>
      <c r="T95" s="93"/>
      <c r="W95" s="93"/>
      <c r="Z95" s="93"/>
      <c r="AA95" s="93"/>
    </row>
    <row r="96" spans="1:39" s="86" customFormat="1">
      <c r="B96" s="512">
        <v>42002</v>
      </c>
      <c r="C96" s="444" t="s">
        <v>383</v>
      </c>
      <c r="E96" s="88">
        <v>5829</v>
      </c>
      <c r="F96" s="83"/>
      <c r="G96" s="347">
        <v>10195.75</v>
      </c>
      <c r="H96" s="344"/>
      <c r="I96" s="87"/>
      <c r="J96" s="513" t="s">
        <v>480</v>
      </c>
      <c r="K96" s="508">
        <f>DATE(2015,1,26)-DATE(2014,12,29)</f>
        <v>28</v>
      </c>
      <c r="N96" s="93"/>
      <c r="Q96" s="93"/>
      <c r="T96" s="93"/>
      <c r="W96" s="93"/>
      <c r="Z96" s="93"/>
      <c r="AA96" s="93"/>
    </row>
    <row r="97" spans="2:27" s="86" customFormat="1">
      <c r="B97" s="512">
        <v>42010</v>
      </c>
      <c r="C97" s="444" t="s">
        <v>501</v>
      </c>
      <c r="E97" s="88">
        <v>5834</v>
      </c>
      <c r="F97" s="83"/>
      <c r="G97" s="353">
        <v>2000</v>
      </c>
      <c r="H97" s="344"/>
      <c r="I97" s="87"/>
      <c r="J97" s="513"/>
      <c r="K97" s="508"/>
      <c r="N97" s="93"/>
      <c r="Q97" s="93"/>
      <c r="T97" s="93"/>
      <c r="W97" s="93"/>
      <c r="Z97" s="93"/>
      <c r="AA97" s="93"/>
    </row>
    <row r="98" spans="2:27" s="86" customFormat="1">
      <c r="B98" s="512">
        <v>42013</v>
      </c>
      <c r="C98" s="444" t="s">
        <v>474</v>
      </c>
      <c r="E98" s="88">
        <v>5837</v>
      </c>
      <c r="F98" s="83"/>
      <c r="G98" s="353">
        <v>2261</v>
      </c>
      <c r="H98" s="344"/>
      <c r="I98" s="87"/>
      <c r="J98" s="513"/>
      <c r="K98" s="508"/>
      <c r="N98" s="93"/>
      <c r="Q98" s="93"/>
      <c r="T98" s="93"/>
      <c r="W98" s="93"/>
      <c r="Z98" s="93"/>
      <c r="AA98" s="93"/>
    </row>
    <row r="99" spans="2:27" s="86" customFormat="1">
      <c r="B99" s="512">
        <v>42014</v>
      </c>
      <c r="C99" s="444" t="s">
        <v>502</v>
      </c>
      <c r="E99" s="88">
        <v>5839</v>
      </c>
      <c r="F99" s="83"/>
      <c r="G99" s="353">
        <v>10195.75</v>
      </c>
      <c r="H99" s="344"/>
      <c r="I99" s="87"/>
      <c r="J99" s="513"/>
      <c r="K99" s="508"/>
      <c r="N99" s="93"/>
      <c r="Q99" s="93"/>
      <c r="T99" s="93"/>
      <c r="W99" s="93"/>
      <c r="Z99" s="93"/>
      <c r="AA99" s="93"/>
    </row>
    <row r="100" spans="2:27" s="86" customFormat="1">
      <c r="B100" s="512">
        <v>42030</v>
      </c>
      <c r="C100" s="444" t="s">
        <v>494</v>
      </c>
      <c r="E100" s="88">
        <v>5854</v>
      </c>
      <c r="F100" s="83"/>
      <c r="G100" s="347">
        <v>32597.5</v>
      </c>
      <c r="H100" s="344"/>
      <c r="I100" s="87"/>
      <c r="J100" s="347"/>
      <c r="K100" s="88"/>
      <c r="N100" s="93"/>
      <c r="Q100" s="93"/>
      <c r="T100" s="93"/>
      <c r="W100" s="93"/>
      <c r="Z100" s="93"/>
      <c r="AA100" s="93"/>
    </row>
    <row r="101" spans="2:27" s="86" customFormat="1">
      <c r="B101" s="512">
        <v>42032</v>
      </c>
      <c r="C101" s="444" t="s">
        <v>503</v>
      </c>
      <c r="E101" s="88">
        <v>5856</v>
      </c>
      <c r="F101" s="83"/>
      <c r="G101" s="347">
        <v>2099</v>
      </c>
      <c r="H101" s="344"/>
      <c r="I101" s="87"/>
      <c r="J101" s="347"/>
      <c r="K101" s="88"/>
      <c r="N101" s="93"/>
      <c r="Q101" s="93"/>
      <c r="T101" s="93"/>
      <c r="W101" s="93"/>
      <c r="Z101" s="93"/>
      <c r="AA101" s="93"/>
    </row>
    <row r="102" spans="2:27" s="86" customFormat="1">
      <c r="B102" s="512">
        <v>42033</v>
      </c>
      <c r="C102" s="444" t="s">
        <v>477</v>
      </c>
      <c r="E102" s="88">
        <v>5857</v>
      </c>
      <c r="F102" s="83"/>
      <c r="G102" s="347">
        <v>9500</v>
      </c>
      <c r="H102" s="344"/>
      <c r="I102" s="87"/>
      <c r="J102" s="347"/>
      <c r="K102" s="88"/>
      <c r="N102" s="93"/>
      <c r="Q102" s="93"/>
      <c r="T102" s="93"/>
      <c r="W102" s="93"/>
      <c r="Z102" s="93"/>
      <c r="AA102" s="93"/>
    </row>
    <row r="103" spans="2:27" s="86" customFormat="1">
      <c r="B103" s="512">
        <v>42034</v>
      </c>
      <c r="C103" s="444" t="s">
        <v>383</v>
      </c>
      <c r="E103" s="88">
        <v>5860</v>
      </c>
      <c r="F103" s="83"/>
      <c r="G103" s="347">
        <v>8091</v>
      </c>
      <c r="H103" s="344"/>
      <c r="I103" s="87"/>
      <c r="J103" s="347"/>
      <c r="K103" s="88"/>
      <c r="N103" s="93"/>
      <c r="Q103" s="93"/>
      <c r="T103" s="93"/>
      <c r="W103" s="93"/>
      <c r="Z103" s="93"/>
      <c r="AA103" s="93"/>
    </row>
    <row r="104" spans="2:27" s="86" customFormat="1">
      <c r="B104" s="512">
        <v>42034</v>
      </c>
      <c r="C104" s="444" t="s">
        <v>383</v>
      </c>
      <c r="E104" s="88">
        <v>5861</v>
      </c>
      <c r="F104" s="83"/>
      <c r="G104" s="347">
        <v>10195.75</v>
      </c>
      <c r="H104" s="344"/>
      <c r="I104" s="87"/>
      <c r="J104" s="347"/>
      <c r="K104" s="88"/>
      <c r="N104" s="93"/>
      <c r="Q104" s="93"/>
      <c r="T104" s="93"/>
      <c r="W104" s="93"/>
      <c r="Z104" s="93"/>
      <c r="AA104" s="93"/>
    </row>
    <row r="105" spans="2:27" s="86" customFormat="1">
      <c r="B105" s="512">
        <v>42034</v>
      </c>
      <c r="C105" s="444" t="s">
        <v>504</v>
      </c>
      <c r="E105" s="88">
        <v>5862</v>
      </c>
      <c r="F105" s="83"/>
      <c r="G105" s="347">
        <v>17127.5</v>
      </c>
      <c r="H105" s="344"/>
      <c r="I105" s="87"/>
      <c r="J105" s="347"/>
      <c r="K105" s="88"/>
      <c r="N105" s="93"/>
      <c r="Q105" s="93"/>
      <c r="T105" s="93"/>
      <c r="W105" s="93"/>
      <c r="Z105" s="93"/>
      <c r="AA105" s="93"/>
    </row>
    <row r="106" spans="2:27" s="86" customFormat="1">
      <c r="B106" s="512">
        <v>42035</v>
      </c>
      <c r="C106" s="444" t="s">
        <v>505</v>
      </c>
      <c r="E106" s="88">
        <v>5866</v>
      </c>
      <c r="F106" s="83"/>
      <c r="G106" s="347">
        <v>103211.25</v>
      </c>
      <c r="H106" s="344"/>
      <c r="I106" s="87"/>
      <c r="J106" s="347"/>
      <c r="K106" s="88"/>
      <c r="N106" s="93"/>
      <c r="Q106" s="93"/>
      <c r="T106" s="93"/>
      <c r="W106" s="93"/>
      <c r="Z106" s="93"/>
      <c r="AA106" s="93"/>
    </row>
    <row r="107" spans="2:27" s="86" customFormat="1">
      <c r="B107" s="512">
        <v>42035</v>
      </c>
      <c r="C107" s="444" t="s">
        <v>506</v>
      </c>
      <c r="E107" s="88">
        <v>5867</v>
      </c>
      <c r="F107" s="83"/>
      <c r="G107" s="347">
        <v>3140.75</v>
      </c>
      <c r="H107" s="344"/>
      <c r="I107" s="87"/>
      <c r="J107" s="347"/>
      <c r="K107" s="88"/>
      <c r="N107" s="93"/>
      <c r="Q107" s="93"/>
      <c r="T107" s="93"/>
      <c r="W107" s="93"/>
      <c r="Z107" s="93"/>
      <c r="AA107" s="93"/>
    </row>
    <row r="108" spans="2:27" s="86" customFormat="1">
      <c r="B108" s="512"/>
      <c r="C108" s="444"/>
      <c r="E108" s="346"/>
      <c r="F108" s="83"/>
      <c r="G108" s="505"/>
      <c r="H108" s="344"/>
      <c r="I108" s="87"/>
      <c r="J108" s="347"/>
      <c r="K108" s="88"/>
      <c r="N108" s="93"/>
      <c r="Q108" s="93"/>
      <c r="T108" s="93"/>
      <c r="W108" s="93"/>
      <c r="Z108" s="93"/>
      <c r="AA108" s="93"/>
    </row>
    <row r="109" spans="2:27" s="86" customFormat="1" hidden="1">
      <c r="B109" s="512"/>
      <c r="C109" s="444"/>
      <c r="D109" s="83"/>
      <c r="E109" s="346"/>
      <c r="F109" s="83"/>
      <c r="G109" s="83"/>
      <c r="H109" s="344"/>
      <c r="I109" s="87"/>
      <c r="J109" s="347"/>
      <c r="K109" s="88"/>
      <c r="N109" s="93"/>
      <c r="Q109" s="93"/>
      <c r="T109" s="93"/>
      <c r="W109" s="93"/>
      <c r="Z109" s="93"/>
      <c r="AA109" s="93"/>
    </row>
    <row r="110" spans="2:27" s="86" customFormat="1" hidden="1">
      <c r="B110" s="499"/>
      <c r="C110" s="444"/>
      <c r="D110" s="83"/>
      <c r="E110" s="471"/>
      <c r="F110" s="83"/>
      <c r="G110" s="83"/>
      <c r="H110" s="344"/>
      <c r="I110" s="87"/>
      <c r="J110" s="490"/>
      <c r="K110" s="88"/>
      <c r="N110" s="93"/>
      <c r="Q110" s="93"/>
      <c r="T110" s="93"/>
      <c r="W110" s="93"/>
      <c r="Z110" s="93"/>
      <c r="AA110" s="93"/>
    </row>
    <row r="111" spans="2:27" s="86" customFormat="1" hidden="1">
      <c r="C111" s="444" t="s">
        <v>496</v>
      </c>
      <c r="D111" s="83"/>
      <c r="E111" s="471"/>
      <c r="F111" s="83"/>
      <c r="G111" s="505">
        <v>-67534.789999999994</v>
      </c>
      <c r="H111" s="344"/>
      <c r="I111" s="87"/>
      <c r="J111" s="490"/>
      <c r="K111" s="88"/>
      <c r="N111" s="93"/>
      <c r="Q111" s="93"/>
      <c r="T111" s="93"/>
      <c r="W111" s="93"/>
      <c r="Z111" s="93"/>
      <c r="AA111" s="93"/>
    </row>
    <row r="112" spans="2:27" s="97" customFormat="1">
      <c r="C112" s="462"/>
      <c r="D112" s="469"/>
      <c r="E112" s="470"/>
      <c r="G112" s="339"/>
      <c r="H112" s="493"/>
      <c r="J112" s="339"/>
      <c r="K112" s="341"/>
      <c r="N112" s="103"/>
      <c r="Q112" s="103"/>
      <c r="T112" s="103"/>
      <c r="W112" s="103"/>
      <c r="Z112" s="103"/>
      <c r="AA112" s="103"/>
    </row>
    <row r="113" spans="1:39" s="100" customFormat="1" ht="13.5" thickBot="1">
      <c r="A113" s="86"/>
      <c r="B113" s="86"/>
      <c r="C113" s="86"/>
      <c r="D113" s="463"/>
      <c r="E113" s="464"/>
      <c r="F113" s="86"/>
      <c r="G113" s="88"/>
      <c r="H113" s="86"/>
      <c r="I113" s="89"/>
      <c r="J113" s="86"/>
      <c r="K113" s="93"/>
      <c r="M113" s="100" t="s">
        <v>7</v>
      </c>
      <c r="N113" s="101" t="e">
        <f>SUM(#REF!)</f>
        <v>#REF!</v>
      </c>
      <c r="P113" s="100" t="s">
        <v>7</v>
      </c>
      <c r="Q113" s="101" t="e">
        <f>SUM(#REF!)</f>
        <v>#REF!</v>
      </c>
      <c r="S113" s="100" t="s">
        <v>7</v>
      </c>
      <c r="T113" s="101" t="e">
        <f>SUM(#REF!)</f>
        <v>#REF!</v>
      </c>
      <c r="V113" s="100" t="s">
        <v>7</v>
      </c>
      <c r="W113" s="101" t="e">
        <f>SUM(#REF!)</f>
        <v>#REF!</v>
      </c>
      <c r="Y113" s="100" t="s">
        <v>7</v>
      </c>
      <c r="Z113" s="101" t="e">
        <f>SUM(#REF!)</f>
        <v>#REF!</v>
      </c>
    </row>
    <row r="114" spans="1:39" ht="14.25" thickTop="1" thickBot="1">
      <c r="A114" s="100"/>
      <c r="B114" s="100"/>
      <c r="C114" s="465"/>
      <c r="D114" s="466"/>
      <c r="E114" s="467"/>
      <c r="F114" s="100"/>
      <c r="G114" s="350"/>
      <c r="H114" s="100"/>
      <c r="I114" s="351" t="s">
        <v>7</v>
      </c>
      <c r="J114" s="101">
        <f>SUM(G34:G112)</f>
        <v>1655490.3500000008</v>
      </c>
      <c r="K114" s="101"/>
      <c r="AA114" s="87"/>
      <c r="AB114" s="86"/>
      <c r="AC114" s="86"/>
      <c r="AD114" s="86"/>
      <c r="AE114" s="86"/>
      <c r="AF114" s="86"/>
      <c r="AG114" s="93"/>
      <c r="AH114" s="104"/>
      <c r="AI114" s="86"/>
      <c r="AJ114" s="86"/>
      <c r="AK114" s="86"/>
      <c r="AL114" s="86"/>
      <c r="AM114" s="86"/>
    </row>
    <row r="115" spans="1:39" ht="13.5" thickTop="1">
      <c r="A115" s="86"/>
      <c r="B115" s="86"/>
      <c r="C115" s="441"/>
      <c r="D115" s="443"/>
      <c r="E115" s="442"/>
      <c r="F115" s="86"/>
      <c r="G115" s="88"/>
      <c r="I115" s="89"/>
      <c r="J115" s="102"/>
      <c r="K115" s="93"/>
      <c r="AA115" s="87"/>
      <c r="AB115" s="86"/>
      <c r="AC115" s="86"/>
      <c r="AD115" s="86"/>
      <c r="AE115" s="86"/>
      <c r="AF115" s="86"/>
      <c r="AG115" s="93"/>
      <c r="AH115" s="104"/>
      <c r="AI115" s="86"/>
      <c r="AJ115" s="86"/>
      <c r="AK115" s="86"/>
      <c r="AL115" s="86"/>
      <c r="AM115" s="86"/>
    </row>
    <row r="116" spans="1:39">
      <c r="A116" s="86"/>
      <c r="B116" s="86"/>
      <c r="C116" s="441"/>
      <c r="D116" s="443"/>
      <c r="E116" s="442"/>
      <c r="F116" s="86"/>
      <c r="G116" s="88"/>
      <c r="I116" s="89"/>
      <c r="J116" s="102">
        <f>J114-TB!H11</f>
        <v>-110810.25999999931</v>
      </c>
      <c r="K116" s="93"/>
      <c r="AA116" s="90"/>
      <c r="AB116" s="86"/>
      <c r="AC116" s="86"/>
      <c r="AD116" s="86"/>
      <c r="AE116" s="86"/>
      <c r="AF116" s="86"/>
      <c r="AG116" s="93"/>
      <c r="AH116" s="105"/>
      <c r="AI116" s="86"/>
      <c r="AJ116" s="86"/>
      <c r="AK116" s="86"/>
      <c r="AL116" s="86"/>
      <c r="AM116" s="86"/>
    </row>
    <row r="117" spans="1:39" s="97" customFormat="1">
      <c r="A117" s="90" t="s">
        <v>36</v>
      </c>
      <c r="B117" s="86"/>
      <c r="C117" s="441"/>
      <c r="D117" s="443"/>
      <c r="E117" s="442"/>
      <c r="F117" s="86"/>
      <c r="G117" s="88"/>
      <c r="H117" s="81"/>
      <c r="I117" s="89"/>
      <c r="J117" s="102"/>
      <c r="K117" s="93"/>
      <c r="AA117" s="106"/>
      <c r="AG117" s="103"/>
      <c r="AH117" s="107"/>
    </row>
    <row r="118" spans="1:39">
      <c r="A118" s="90"/>
      <c r="B118" s="90"/>
      <c r="C118" s="514"/>
      <c r="D118" s="515"/>
      <c r="E118" s="516"/>
      <c r="F118" s="90"/>
      <c r="G118" s="343"/>
      <c r="H118" s="94"/>
      <c r="I118" s="517"/>
      <c r="J118" s="518"/>
      <c r="K118" s="104"/>
      <c r="L118" s="109"/>
      <c r="N118" s="108"/>
      <c r="Q118" s="108"/>
      <c r="T118" s="108"/>
      <c r="W118" s="108"/>
      <c r="Z118" s="108"/>
      <c r="AA118" s="110"/>
      <c r="AB118" s="86"/>
      <c r="AC118" s="87"/>
      <c r="AD118" s="86"/>
      <c r="AE118" s="86"/>
      <c r="AF118" s="86"/>
      <c r="AG118" s="93"/>
      <c r="AH118" s="105"/>
      <c r="AI118" s="86"/>
      <c r="AJ118" s="86"/>
      <c r="AK118" s="86"/>
      <c r="AL118" s="86"/>
      <c r="AM118" s="86"/>
    </row>
    <row r="119" spans="1:39" s="86" customFormat="1" ht="13.5" thickBot="1">
      <c r="A119" s="519" t="s">
        <v>497</v>
      </c>
      <c r="B119" s="91"/>
      <c r="C119" s="92"/>
      <c r="D119" s="333"/>
      <c r="E119" s="334"/>
      <c r="F119" s="92"/>
      <c r="G119" s="335"/>
      <c r="H119" s="92"/>
      <c r="I119" s="336" t="s">
        <v>7</v>
      </c>
      <c r="J119" s="91">
        <f>TB!H12</f>
        <v>461.16071428571433</v>
      </c>
      <c r="K119" s="92"/>
      <c r="L119" s="112"/>
      <c r="N119" s="111"/>
      <c r="Q119" s="111"/>
      <c r="T119" s="111"/>
      <c r="W119" s="111"/>
      <c r="Z119" s="111"/>
      <c r="AA119" s="110"/>
      <c r="AC119" s="87"/>
      <c r="AG119" s="93"/>
      <c r="AH119" s="105"/>
    </row>
    <row r="120" spans="1:39" s="86" customFormat="1" ht="13.5" thickTop="1">
      <c r="C120" s="441"/>
      <c r="D120" s="443"/>
      <c r="E120" s="442"/>
      <c r="G120" s="88"/>
      <c r="H120" s="81"/>
      <c r="I120" s="89"/>
      <c r="J120" s="102"/>
      <c r="K120" s="93"/>
      <c r="L120" s="112"/>
      <c r="N120" s="111"/>
      <c r="Q120" s="111"/>
      <c r="T120" s="111"/>
      <c r="W120" s="111"/>
      <c r="Z120" s="111"/>
      <c r="AA120" s="110"/>
      <c r="AC120" s="87"/>
      <c r="AG120" s="93"/>
      <c r="AH120" s="105"/>
    </row>
    <row r="121" spans="1:39" s="86" customFormat="1">
      <c r="C121" s="441"/>
      <c r="D121" s="443"/>
      <c r="E121" s="442"/>
      <c r="G121" s="88"/>
      <c r="H121" s="81"/>
      <c r="I121" s="89"/>
      <c r="J121" s="102"/>
      <c r="K121" s="93"/>
      <c r="L121" s="112"/>
      <c r="N121" s="111"/>
      <c r="Q121" s="111"/>
      <c r="T121" s="111"/>
      <c r="W121" s="111"/>
      <c r="Z121" s="111"/>
      <c r="AA121" s="110"/>
      <c r="AC121" s="87"/>
      <c r="AG121" s="93"/>
      <c r="AH121" s="105"/>
    </row>
    <row r="122" spans="1:39" s="86" customFormat="1">
      <c r="D122" s="332"/>
      <c r="E122" s="87"/>
      <c r="G122" s="88"/>
      <c r="H122" s="81"/>
      <c r="I122" s="89"/>
      <c r="J122" s="102"/>
      <c r="K122" s="93"/>
      <c r="L122" s="112"/>
      <c r="N122" s="111"/>
      <c r="Q122" s="111"/>
      <c r="T122" s="111"/>
      <c r="W122" s="111"/>
      <c r="Z122" s="111"/>
      <c r="AA122" s="110"/>
      <c r="AC122" s="87"/>
      <c r="AG122" s="93"/>
      <c r="AH122" s="105"/>
    </row>
    <row r="123" spans="1:39" s="86" customFormat="1">
      <c r="D123" s="332"/>
      <c r="E123" s="87"/>
      <c r="G123" s="88"/>
      <c r="H123" s="81"/>
      <c r="I123" s="89"/>
      <c r="J123" s="102"/>
      <c r="K123" s="93"/>
      <c r="L123" s="112"/>
      <c r="N123" s="111"/>
      <c r="Q123" s="111"/>
      <c r="T123" s="111"/>
      <c r="W123" s="111"/>
      <c r="Z123" s="111"/>
      <c r="AA123" s="110"/>
      <c r="AC123" s="87"/>
      <c r="AG123" s="93"/>
      <c r="AH123" s="105"/>
    </row>
    <row r="124" spans="1:39" s="97" customFormat="1">
      <c r="A124" s="94" t="s">
        <v>38</v>
      </c>
      <c r="B124" s="81"/>
      <c r="C124" s="81"/>
      <c r="D124" s="82"/>
      <c r="E124" s="83"/>
      <c r="F124" s="81"/>
      <c r="G124" s="84"/>
      <c r="H124" s="81"/>
      <c r="I124" s="85"/>
      <c r="J124" s="81"/>
      <c r="K124" s="86"/>
      <c r="AG124" s="103"/>
      <c r="AH124" s="113"/>
    </row>
    <row r="125" spans="1:39" s="86" customFormat="1">
      <c r="A125" s="94" t="s">
        <v>33</v>
      </c>
      <c r="B125" s="81"/>
      <c r="C125" s="81"/>
      <c r="D125" s="82"/>
      <c r="E125" s="83"/>
      <c r="F125" s="81"/>
      <c r="G125" s="84"/>
      <c r="H125" s="102"/>
      <c r="I125" s="85"/>
      <c r="J125" s="81"/>
      <c r="L125" s="112"/>
      <c r="N125" s="111"/>
      <c r="Q125" s="111"/>
      <c r="T125" s="111"/>
      <c r="W125" s="111"/>
      <c r="Z125" s="111"/>
      <c r="AA125" s="110"/>
      <c r="AC125" s="87"/>
      <c r="AG125" s="93"/>
      <c r="AH125" s="105"/>
    </row>
    <row r="126" spans="1:39" s="94" customFormat="1" ht="13.5" thickBot="1">
      <c r="A126" s="97"/>
      <c r="B126" s="97"/>
      <c r="C126" s="97"/>
      <c r="D126" s="339"/>
      <c r="E126" s="340"/>
      <c r="F126" s="97"/>
      <c r="G126" s="341"/>
      <c r="H126" s="341"/>
      <c r="I126" s="342"/>
      <c r="J126" s="97"/>
      <c r="K126" s="97"/>
      <c r="M126" s="114" t="s">
        <v>7</v>
      </c>
      <c r="N126" s="115">
        <f>SUM(N118:N119)</f>
        <v>0</v>
      </c>
      <c r="P126" s="114" t="s">
        <v>7</v>
      </c>
      <c r="Q126" s="115">
        <f>SUM(Q118:Q119)</f>
        <v>0</v>
      </c>
      <c r="S126" s="114" t="s">
        <v>7</v>
      </c>
      <c r="T126" s="115">
        <f>SUM(T118:T119)</f>
        <v>0</v>
      </c>
      <c r="V126" s="114" t="s">
        <v>7</v>
      </c>
      <c r="W126" s="115">
        <f>SUM(W118:W119)</f>
        <v>0</v>
      </c>
      <c r="Y126" s="114" t="s">
        <v>7</v>
      </c>
      <c r="Z126" s="115">
        <f>SUM(Z118:Z119)</f>
        <v>0</v>
      </c>
      <c r="AA126" s="90"/>
      <c r="AB126" s="90"/>
      <c r="AC126" s="90"/>
      <c r="AD126" s="90"/>
      <c r="AE126" s="90"/>
      <c r="AF126" s="90"/>
      <c r="AG126" s="90"/>
      <c r="AH126" s="104"/>
      <c r="AI126" s="90"/>
      <c r="AJ126" s="90"/>
      <c r="AK126" s="90"/>
      <c r="AL126" s="90"/>
      <c r="AM126" s="90"/>
    </row>
    <row r="127" spans="1:39">
      <c r="A127" s="86"/>
      <c r="B127" s="86"/>
      <c r="C127" s="86"/>
      <c r="D127" s="332"/>
      <c r="E127" s="87"/>
      <c r="F127" s="86"/>
      <c r="G127" s="86"/>
      <c r="H127" s="86"/>
      <c r="I127" s="89"/>
      <c r="J127" s="93"/>
      <c r="K127" s="93"/>
      <c r="AA127" s="87"/>
      <c r="AB127" s="86"/>
      <c r="AC127" s="86"/>
      <c r="AD127" s="86"/>
      <c r="AE127" s="86"/>
      <c r="AF127" s="86"/>
      <c r="AG127" s="93"/>
      <c r="AH127" s="104"/>
      <c r="AI127" s="86"/>
      <c r="AJ127" s="86"/>
      <c r="AK127" s="86"/>
      <c r="AL127" s="86"/>
      <c r="AM127" s="86"/>
    </row>
    <row r="128" spans="1:39">
      <c r="A128" s="86"/>
      <c r="B128" s="90" t="s">
        <v>451</v>
      </c>
      <c r="C128" s="86"/>
      <c r="D128" s="332"/>
      <c r="E128" s="87"/>
      <c r="F128" s="86"/>
      <c r="G128" s="86"/>
      <c r="H128" s="86"/>
      <c r="I128" s="89"/>
      <c r="J128" s="93"/>
      <c r="K128" s="93"/>
      <c r="AA128" s="86"/>
      <c r="AB128" s="86"/>
      <c r="AC128" s="86"/>
      <c r="AD128" s="86"/>
      <c r="AE128" s="86"/>
      <c r="AF128" s="86"/>
      <c r="AG128" s="116"/>
      <c r="AH128" s="86"/>
      <c r="AI128" s="86"/>
      <c r="AJ128" s="86"/>
      <c r="AK128" s="86"/>
      <c r="AL128" s="86"/>
      <c r="AM128" s="86"/>
    </row>
    <row r="129" spans="1:39" s="97" customFormat="1">
      <c r="A129" s="86"/>
      <c r="B129" s="86"/>
      <c r="C129" s="86"/>
      <c r="D129" s="332"/>
      <c r="E129" s="87"/>
      <c r="F129" s="86"/>
      <c r="G129" s="86"/>
      <c r="H129" s="86"/>
      <c r="I129" s="89"/>
      <c r="J129" s="104">
        <v>4610640.1913814303</v>
      </c>
      <c r="K129" s="93"/>
      <c r="AD129" s="117"/>
      <c r="AG129" s="118"/>
    </row>
    <row r="130" spans="1:39">
      <c r="A130" s="86"/>
      <c r="B130" s="90" t="s">
        <v>320</v>
      </c>
      <c r="C130" s="86"/>
      <c r="D130" s="332"/>
      <c r="E130" s="87"/>
      <c r="F130" s="86"/>
      <c r="G130" s="332"/>
      <c r="H130" s="86"/>
      <c r="I130" s="89"/>
      <c r="J130" s="93"/>
      <c r="K130" s="93"/>
      <c r="L130" s="102"/>
      <c r="N130" s="102"/>
      <c r="Q130" s="102"/>
      <c r="T130" s="102"/>
      <c r="W130" s="102"/>
      <c r="Z130" s="102"/>
      <c r="AA130" s="86"/>
      <c r="AB130" s="86"/>
      <c r="AC130" s="86"/>
      <c r="AD130" s="105"/>
      <c r="AE130" s="86"/>
      <c r="AF130" s="86"/>
      <c r="AG130" s="116"/>
      <c r="AH130" s="86"/>
      <c r="AI130" s="86"/>
      <c r="AJ130" s="86"/>
      <c r="AK130" s="86"/>
      <c r="AL130" s="86"/>
      <c r="AM130" s="86"/>
    </row>
    <row r="131" spans="1:39">
      <c r="A131" s="86"/>
      <c r="B131" s="86"/>
      <c r="C131" s="86"/>
      <c r="D131" s="332"/>
      <c r="E131" s="87"/>
      <c r="F131" s="332"/>
      <c r="G131" s="332"/>
      <c r="H131" s="86"/>
      <c r="I131" s="89"/>
      <c r="J131" s="86"/>
      <c r="K131" s="93"/>
      <c r="L131" s="102"/>
      <c r="N131" s="102"/>
      <c r="Q131" s="102"/>
      <c r="T131" s="102"/>
      <c r="W131" s="102"/>
      <c r="Z131" s="102"/>
      <c r="AA131" s="86"/>
      <c r="AB131" s="86"/>
      <c r="AC131" s="86"/>
      <c r="AD131" s="105"/>
      <c r="AE131" s="86"/>
      <c r="AF131" s="86"/>
      <c r="AG131" s="116"/>
      <c r="AH131" s="86"/>
      <c r="AI131" s="86"/>
      <c r="AJ131" s="86"/>
      <c r="AK131" s="86"/>
      <c r="AL131" s="86"/>
      <c r="AM131" s="86"/>
    </row>
    <row r="132" spans="1:39">
      <c r="A132" s="86"/>
      <c r="B132" s="86"/>
      <c r="C132" s="86"/>
      <c r="D132" s="332"/>
      <c r="E132" s="337"/>
      <c r="F132" s="332"/>
      <c r="G132" s="93"/>
      <c r="H132" s="86"/>
      <c r="I132" s="89"/>
      <c r="J132" s="104">
        <f>SUM(D131:D131)</f>
        <v>0</v>
      </c>
      <c r="K132" s="93"/>
    </row>
    <row r="133" spans="1:39" s="98" customFormat="1">
      <c r="A133" s="86"/>
      <c r="B133" s="90" t="s">
        <v>321</v>
      </c>
      <c r="C133" s="86"/>
      <c r="D133" s="332"/>
      <c r="E133" s="87"/>
      <c r="F133" s="86"/>
      <c r="G133" s="332"/>
      <c r="H133" s="86"/>
      <c r="I133" s="89"/>
      <c r="J133" s="93"/>
      <c r="K133" s="93"/>
      <c r="N133" s="99"/>
      <c r="Q133" s="99"/>
      <c r="T133" s="99"/>
      <c r="W133" s="99"/>
      <c r="Z133" s="99"/>
      <c r="AA133" s="120"/>
      <c r="AG133" s="121"/>
    </row>
    <row r="134" spans="1:39" s="100" customFormat="1" ht="13.5" thickBot="1">
      <c r="A134" s="86"/>
      <c r="B134" s="86"/>
      <c r="C134" s="86" t="s">
        <v>509</v>
      </c>
      <c r="D134" s="332">
        <v>66383.929999999993</v>
      </c>
      <c r="E134" s="87" t="s">
        <v>507</v>
      </c>
      <c r="F134" s="86"/>
      <c r="G134" s="86"/>
      <c r="H134" s="86"/>
      <c r="I134" s="89"/>
      <c r="J134" s="93"/>
      <c r="K134" s="93"/>
      <c r="N134" s="101"/>
      <c r="Q134" s="101"/>
      <c r="T134" s="101"/>
      <c r="W134" s="101"/>
      <c r="Z134" s="101"/>
      <c r="AA134" s="101"/>
      <c r="AH134" s="123"/>
    </row>
    <row r="135" spans="1:39" ht="13.5" thickTop="1">
      <c r="A135" s="86"/>
      <c r="B135" s="86"/>
      <c r="C135" s="86"/>
      <c r="D135" s="339"/>
      <c r="E135" s="87"/>
      <c r="F135" s="86"/>
      <c r="G135" s="86"/>
      <c r="H135" s="86"/>
      <c r="I135" s="89"/>
      <c r="J135" s="93"/>
      <c r="K135" s="93"/>
    </row>
    <row r="136" spans="1:39">
      <c r="A136" s="86"/>
      <c r="B136" s="86"/>
      <c r="C136" s="86"/>
      <c r="D136" s="332"/>
      <c r="E136" s="87"/>
      <c r="F136" s="86"/>
      <c r="G136" s="86"/>
      <c r="H136" s="86"/>
      <c r="I136" s="89"/>
      <c r="J136" s="104">
        <f>SUM(D134:D135)</f>
        <v>66383.929999999993</v>
      </c>
      <c r="K136" s="93"/>
    </row>
    <row r="137" spans="1:39">
      <c r="A137" s="86"/>
      <c r="B137" s="90" t="s">
        <v>510</v>
      </c>
      <c r="C137" s="86"/>
      <c r="D137" s="332"/>
      <c r="E137" s="87"/>
      <c r="F137" s="86"/>
      <c r="G137" s="86"/>
      <c r="H137" s="86"/>
      <c r="I137" s="89"/>
      <c r="J137" s="104"/>
      <c r="K137" s="93"/>
    </row>
    <row r="138" spans="1:39">
      <c r="A138" s="86"/>
      <c r="B138" s="86"/>
      <c r="C138" s="86" t="s">
        <v>511</v>
      </c>
      <c r="D138" s="339">
        <v>535.71</v>
      </c>
      <c r="E138" s="87" t="s">
        <v>507</v>
      </c>
      <c r="F138" s="86"/>
      <c r="G138" s="86"/>
      <c r="H138" s="86"/>
      <c r="I138" s="89"/>
      <c r="J138" s="104"/>
      <c r="K138" s="93"/>
    </row>
    <row r="139" spans="1:39">
      <c r="A139" s="86"/>
      <c r="B139" s="86"/>
      <c r="C139" s="86"/>
      <c r="D139" s="332"/>
      <c r="E139" s="87"/>
      <c r="F139" s="86"/>
      <c r="G139" s="86"/>
      <c r="H139" s="86"/>
      <c r="I139" s="89"/>
      <c r="J139" s="104"/>
      <c r="K139" s="93"/>
    </row>
    <row r="140" spans="1:39">
      <c r="A140" s="86"/>
      <c r="B140" s="86"/>
      <c r="C140" s="86"/>
      <c r="D140" s="332"/>
      <c r="E140" s="87"/>
      <c r="F140" s="86"/>
      <c r="G140" s="86"/>
      <c r="H140" s="86"/>
      <c r="I140" s="89"/>
      <c r="J140" s="518">
        <f>D138</f>
        <v>535.71</v>
      </c>
      <c r="K140" s="93"/>
    </row>
    <row r="141" spans="1:39">
      <c r="A141" s="86"/>
      <c r="B141" s="90"/>
      <c r="C141" s="86"/>
      <c r="D141" s="332"/>
      <c r="E141" s="87"/>
      <c r="F141" s="86"/>
      <c r="G141" s="86"/>
      <c r="H141" s="86"/>
      <c r="I141" s="89"/>
      <c r="J141" s="104"/>
      <c r="K141" s="93"/>
    </row>
    <row r="142" spans="1:39">
      <c r="A142" s="86"/>
      <c r="B142" s="90" t="s">
        <v>498</v>
      </c>
      <c r="C142" s="86"/>
      <c r="D142" s="332"/>
      <c r="E142" s="87"/>
      <c r="F142" s="86"/>
      <c r="G142" s="86"/>
      <c r="H142" s="86"/>
      <c r="I142" s="89"/>
      <c r="J142" s="93"/>
      <c r="K142" s="93"/>
    </row>
    <row r="143" spans="1:39">
      <c r="A143" s="86"/>
      <c r="B143" s="90"/>
      <c r="C143" s="86" t="s">
        <v>508</v>
      </c>
      <c r="D143" s="339">
        <v>67476.17</v>
      </c>
      <c r="E143" s="87" t="s">
        <v>507</v>
      </c>
      <c r="F143" s="86"/>
      <c r="G143" s="86"/>
      <c r="H143" s="86"/>
      <c r="I143" s="89"/>
      <c r="J143" s="93"/>
      <c r="K143" s="93"/>
    </row>
    <row r="144" spans="1:39">
      <c r="A144" s="86"/>
      <c r="B144" s="90"/>
      <c r="C144" s="86"/>
      <c r="D144" s="332"/>
      <c r="E144" s="87"/>
      <c r="F144" s="86"/>
      <c r="G144" s="86"/>
      <c r="H144" s="86"/>
      <c r="I144" s="89"/>
      <c r="J144" s="104">
        <f>SUM(D143:D143)</f>
        <v>67476.17</v>
      </c>
      <c r="K144" s="93"/>
    </row>
    <row r="145" spans="1:11">
      <c r="A145" s="86"/>
      <c r="B145" s="90"/>
      <c r="C145" s="86"/>
      <c r="D145" s="332"/>
      <c r="E145" s="87"/>
      <c r="F145" s="86"/>
      <c r="G145" s="86"/>
      <c r="H145" s="86"/>
      <c r="I145" s="89"/>
      <c r="J145" s="93"/>
      <c r="K145" s="93"/>
    </row>
    <row r="146" spans="1:11">
      <c r="A146" s="86"/>
      <c r="B146" s="86"/>
      <c r="C146" s="86"/>
      <c r="D146" s="332"/>
      <c r="E146" s="87"/>
      <c r="F146" s="86"/>
      <c r="G146" s="86"/>
      <c r="H146" s="86"/>
      <c r="I146" s="89"/>
      <c r="J146" s="86"/>
      <c r="K146" s="93"/>
    </row>
    <row r="147" spans="1:11">
      <c r="A147" s="97"/>
      <c r="B147" s="106" t="s">
        <v>173</v>
      </c>
      <c r="C147" s="97"/>
      <c r="D147" s="339"/>
      <c r="E147" s="340"/>
      <c r="F147" s="97"/>
      <c r="G147" s="339"/>
      <c r="H147" s="97"/>
      <c r="I147" s="342"/>
      <c r="J147" s="520">
        <f>-TB!H56</f>
        <v>-385964.02747999999</v>
      </c>
      <c r="K147" s="103"/>
    </row>
    <row r="148" spans="1:11" ht="13.5" thickBot="1">
      <c r="A148" s="100"/>
      <c r="B148" s="100"/>
      <c r="C148" s="100" t="s">
        <v>29</v>
      </c>
      <c r="D148" s="348"/>
      <c r="E148" s="349"/>
      <c r="F148" s="100"/>
      <c r="G148" s="350"/>
      <c r="H148" s="100"/>
      <c r="I148" s="351" t="s">
        <v>7</v>
      </c>
      <c r="J148" s="101">
        <f>SUM(J127:J147)</f>
        <v>4359071.9739014301</v>
      </c>
      <c r="K148" s="101"/>
    </row>
    <row r="149" spans="1:11" ht="13.5" thickTop="1">
      <c r="J149" s="102">
        <f>J148-BS!D17</f>
        <v>-4.2857136577367783E-3</v>
      </c>
      <c r="K149" s="93"/>
    </row>
    <row r="150" spans="1:11">
      <c r="G150" s="352"/>
      <c r="J150" s="102"/>
      <c r="K150" s="93"/>
    </row>
    <row r="151" spans="1:11">
      <c r="A151" s="94" t="s">
        <v>393</v>
      </c>
    </row>
    <row r="152" spans="1:11">
      <c r="A152" s="106" t="s">
        <v>35</v>
      </c>
      <c r="B152" s="97"/>
      <c r="C152" s="97"/>
      <c r="D152" s="339"/>
      <c r="E152" s="340"/>
      <c r="F152" s="97"/>
      <c r="G152" s="341"/>
      <c r="H152" s="97"/>
      <c r="I152" s="342"/>
      <c r="J152" s="97"/>
      <c r="K152" s="97"/>
    </row>
    <row r="153" spans="1:11">
      <c r="B153" s="94" t="s">
        <v>98</v>
      </c>
      <c r="I153" s="85" t="s">
        <v>7</v>
      </c>
      <c r="J153" s="521">
        <f>TB!H14</f>
        <v>1132.8524999999991</v>
      </c>
      <c r="K153" s="111"/>
    </row>
    <row r="154" spans="1:11">
      <c r="A154" s="86"/>
      <c r="B154" s="90" t="s">
        <v>99</v>
      </c>
      <c r="C154" s="86"/>
      <c r="D154" s="332"/>
      <c r="E154" s="87"/>
      <c r="F154" s="86"/>
      <c r="G154" s="88"/>
      <c r="H154" s="86"/>
      <c r="I154" s="89"/>
      <c r="J154" s="521">
        <f>TB!H15</f>
        <v>3035.8600000000006</v>
      </c>
      <c r="K154" s="111"/>
    </row>
    <row r="155" spans="1:11">
      <c r="A155" s="86"/>
      <c r="B155" s="90" t="s">
        <v>311</v>
      </c>
      <c r="C155" s="86"/>
      <c r="D155" s="332"/>
      <c r="E155" s="87"/>
      <c r="F155" s="86"/>
      <c r="G155" s="88"/>
      <c r="H155" s="86"/>
      <c r="I155" s="89"/>
      <c r="J155" s="108">
        <f>[3]TB!BD15</f>
        <v>0</v>
      </c>
      <c r="K155" s="111"/>
    </row>
    <row r="156" spans="1:11">
      <c r="A156" s="86"/>
      <c r="B156" s="90" t="s">
        <v>100</v>
      </c>
      <c r="C156" s="86"/>
      <c r="D156" s="332"/>
      <c r="E156" s="87"/>
      <c r="F156" s="86"/>
      <c r="G156" s="88"/>
      <c r="H156" s="86"/>
      <c r="I156" s="89"/>
      <c r="J156" s="111"/>
      <c r="K156" s="111"/>
    </row>
    <row r="157" spans="1:11">
      <c r="A157" s="86"/>
      <c r="B157" s="86"/>
      <c r="C157" s="86" t="s">
        <v>177</v>
      </c>
      <c r="D157" s="332" t="s">
        <v>175</v>
      </c>
      <c r="E157" s="87"/>
      <c r="F157" s="86"/>
      <c r="G157" s="353">
        <v>137458.42000000001</v>
      </c>
      <c r="H157" s="86"/>
      <c r="I157" s="89"/>
      <c r="J157" s="111"/>
      <c r="K157" s="111"/>
    </row>
    <row r="158" spans="1:11">
      <c r="A158" s="86"/>
      <c r="B158" s="86"/>
      <c r="C158" s="86" t="s">
        <v>178</v>
      </c>
      <c r="D158" s="332" t="s">
        <v>176</v>
      </c>
      <c r="E158" s="87"/>
      <c r="F158" s="86"/>
      <c r="G158" s="354">
        <v>14348.15</v>
      </c>
      <c r="H158" s="86"/>
      <c r="I158" s="89"/>
      <c r="J158" s="521">
        <f>[3]TB!BV16</f>
        <v>151806.57</v>
      </c>
      <c r="K158" s="111"/>
    </row>
    <row r="159" spans="1:11">
      <c r="A159" s="97"/>
      <c r="B159" s="97"/>
      <c r="C159" s="97"/>
      <c r="D159" s="339"/>
      <c r="E159" s="340"/>
      <c r="F159" s="97"/>
      <c r="G159" s="341"/>
      <c r="H159" s="97"/>
      <c r="I159" s="342"/>
      <c r="J159" s="97"/>
      <c r="K159" s="97"/>
    </row>
    <row r="160" spans="1:11">
      <c r="A160" s="86"/>
      <c r="B160" s="86"/>
      <c r="C160" s="86"/>
      <c r="D160" s="332"/>
      <c r="E160" s="87"/>
      <c r="F160" s="86"/>
      <c r="G160" s="88"/>
      <c r="H160" s="86"/>
      <c r="I160" s="89"/>
      <c r="J160" s="111"/>
      <c r="K160" s="111"/>
    </row>
    <row r="161" spans="1:11" ht="13.5" thickBot="1">
      <c r="A161" s="100"/>
      <c r="B161" s="100"/>
      <c r="C161" s="100" t="s">
        <v>29</v>
      </c>
      <c r="D161" s="348"/>
      <c r="E161" s="349"/>
      <c r="F161" s="100"/>
      <c r="G161" s="350"/>
      <c r="H161" s="350"/>
      <c r="I161" s="351" t="s">
        <v>7</v>
      </c>
      <c r="J161" s="101">
        <f>SUM(J153:J158)</f>
        <v>155975.2825</v>
      </c>
      <c r="K161" s="101"/>
    </row>
    <row r="162" spans="1:11" ht="13.5" thickTop="1">
      <c r="J162" s="102">
        <f>J161-BS!D23</f>
        <v>0</v>
      </c>
      <c r="K162" s="93"/>
    </row>
    <row r="163" spans="1:11">
      <c r="A163" s="94" t="s">
        <v>499</v>
      </c>
    </row>
    <row r="164" spans="1:11">
      <c r="A164" s="106" t="s">
        <v>37</v>
      </c>
      <c r="B164" s="97"/>
      <c r="C164" s="97"/>
      <c r="D164" s="339"/>
      <c r="E164" s="340"/>
      <c r="F164" s="97"/>
      <c r="G164" s="341"/>
      <c r="H164" s="97"/>
      <c r="I164" s="342"/>
      <c r="J164" s="97"/>
      <c r="K164" s="97"/>
    </row>
    <row r="165" spans="1:11">
      <c r="B165" s="94" t="s">
        <v>108</v>
      </c>
      <c r="C165" s="355"/>
      <c r="E165" s="119"/>
      <c r="F165" s="116"/>
      <c r="G165" s="102"/>
      <c r="J165" s="93"/>
      <c r="K165" s="439"/>
    </row>
    <row r="166" spans="1:11">
      <c r="B166" s="94"/>
      <c r="C166" s="81" t="s">
        <v>371</v>
      </c>
      <c r="D166" s="116">
        <f>J168-D167</f>
        <v>200911.62</v>
      </c>
      <c r="E166" s="119"/>
      <c r="F166" s="116"/>
      <c r="G166" s="102"/>
      <c r="J166" s="93"/>
      <c r="K166" s="439"/>
    </row>
    <row r="167" spans="1:11">
      <c r="B167" s="94"/>
      <c r="C167" s="81" t="s">
        <v>372</v>
      </c>
      <c r="D167" s="339">
        <v>66301.61</v>
      </c>
      <c r="E167" s="119"/>
      <c r="G167" s="102"/>
      <c r="J167" s="93"/>
      <c r="K167" s="439"/>
    </row>
    <row r="168" spans="1:11">
      <c r="B168" s="94"/>
      <c r="D168" s="82">
        <f>SUM(D166:D167)</f>
        <v>267213.23</v>
      </c>
      <c r="E168" s="119"/>
      <c r="F168" s="116"/>
      <c r="G168" s="102"/>
      <c r="J168" s="104">
        <f>-TB!H27</f>
        <v>267213.23</v>
      </c>
      <c r="K168" s="439"/>
    </row>
    <row r="169" spans="1:11">
      <c r="B169" s="94"/>
      <c r="E169" s="119"/>
      <c r="F169" s="116"/>
      <c r="G169" s="102"/>
      <c r="J169" s="93"/>
      <c r="K169" s="439"/>
    </row>
    <row r="170" spans="1:11">
      <c r="B170" s="94" t="s">
        <v>109</v>
      </c>
      <c r="C170" s="355"/>
      <c r="E170" s="119"/>
      <c r="F170" s="116"/>
      <c r="G170" s="102"/>
      <c r="J170" s="93">
        <f>TB!H28</f>
        <v>0</v>
      </c>
      <c r="K170" s="439"/>
    </row>
    <row r="171" spans="1:11">
      <c r="B171" s="94" t="s">
        <v>179</v>
      </c>
      <c r="C171" s="355"/>
      <c r="E171" s="119"/>
      <c r="F171" s="356"/>
      <c r="G171" s="119"/>
    </row>
    <row r="172" spans="1:11">
      <c r="C172" s="355" t="s">
        <v>110</v>
      </c>
      <c r="F172" s="356"/>
      <c r="I172" s="89"/>
      <c r="J172" s="522">
        <f xml:space="preserve">    -TB!H29</f>
        <v>14712.5</v>
      </c>
      <c r="K172" s="439"/>
    </row>
    <row r="173" spans="1:11">
      <c r="C173" s="355" t="s">
        <v>111</v>
      </c>
      <c r="F173" s="356"/>
      <c r="I173" s="89"/>
      <c r="J173" s="522">
        <f>-TB!H30</f>
        <v>3075</v>
      </c>
      <c r="K173" s="439"/>
    </row>
    <row r="174" spans="1:11">
      <c r="C174" s="355" t="s">
        <v>112</v>
      </c>
      <c r="F174" s="356"/>
      <c r="I174" s="89"/>
      <c r="J174" s="522">
        <f xml:space="preserve"> -TB!H31</f>
        <v>2100</v>
      </c>
      <c r="K174" s="439"/>
    </row>
    <row r="175" spans="1:11">
      <c r="C175" s="355" t="s">
        <v>113</v>
      </c>
      <c r="F175" s="356"/>
      <c r="I175" s="89"/>
      <c r="J175" s="522">
        <f>-TB!H32</f>
        <v>2422.605</v>
      </c>
      <c r="K175" s="439"/>
    </row>
    <row r="176" spans="1:11">
      <c r="C176" s="355" t="s">
        <v>114</v>
      </c>
      <c r="F176" s="356"/>
      <c r="I176" s="89"/>
      <c r="J176" s="522">
        <f>-TB!H33</f>
        <v>986.11</v>
      </c>
      <c r="K176" s="439"/>
    </row>
    <row r="177" spans="1:11">
      <c r="C177" s="355" t="s">
        <v>512</v>
      </c>
      <c r="F177" s="356"/>
      <c r="I177" s="89"/>
      <c r="J177" s="522">
        <f>-TB!H34</f>
        <v>4125</v>
      </c>
      <c r="K177" s="439"/>
    </row>
    <row r="178" spans="1:11">
      <c r="C178" s="355" t="s">
        <v>421</v>
      </c>
      <c r="F178" s="356"/>
      <c r="I178" s="89"/>
      <c r="J178" s="522">
        <f>-TB!H35</f>
        <v>571.875</v>
      </c>
      <c r="K178" s="439"/>
    </row>
    <row r="179" spans="1:11">
      <c r="C179" s="355" t="s">
        <v>116</v>
      </c>
      <c r="F179" s="356"/>
      <c r="I179" s="89"/>
      <c r="J179" s="522">
        <f>-TB!H36</f>
        <v>-3898.6000000000022</v>
      </c>
      <c r="K179" s="439"/>
    </row>
    <row r="180" spans="1:11">
      <c r="C180" s="355" t="s">
        <v>117</v>
      </c>
      <c r="F180" s="356"/>
      <c r="H180" s="86"/>
      <c r="I180" s="89"/>
      <c r="J180" s="522">
        <f>-TB!H37</f>
        <v>2820.07</v>
      </c>
      <c r="K180" s="439"/>
    </row>
    <row r="181" spans="1:11">
      <c r="C181" s="81" t="s">
        <v>500</v>
      </c>
      <c r="F181" s="356"/>
      <c r="H181" s="86"/>
      <c r="I181" s="89"/>
      <c r="J181" s="119">
        <f>-[3]TB!BV34</f>
        <v>0</v>
      </c>
      <c r="K181" s="439"/>
    </row>
    <row r="182" spans="1:11">
      <c r="C182" s="81" t="s">
        <v>420</v>
      </c>
      <c r="F182" s="356"/>
      <c r="H182" s="86"/>
      <c r="I182" s="89"/>
      <c r="J182" s="522">
        <f>-TB!H38</f>
        <v>2424.25</v>
      </c>
      <c r="K182" s="439"/>
    </row>
    <row r="183" spans="1:11">
      <c r="C183" s="81" t="s">
        <v>360</v>
      </c>
      <c r="F183" s="356"/>
      <c r="H183" s="86"/>
      <c r="I183" s="89"/>
      <c r="J183" s="522">
        <f>-TB!H39</f>
        <v>99523.199999999997</v>
      </c>
      <c r="K183" s="439"/>
    </row>
    <row r="184" spans="1:11" s="97" customFormat="1">
      <c r="C184" s="97" t="s">
        <v>398</v>
      </c>
      <c r="D184" s="339"/>
      <c r="E184" s="340"/>
      <c r="F184" s="524"/>
      <c r="G184" s="341"/>
      <c r="I184" s="342"/>
      <c r="J184" s="523">
        <f>-TB!H42</f>
        <v>55405.13</v>
      </c>
      <c r="K184" s="525"/>
    </row>
    <row r="185" spans="1:11" ht="13.5" thickBot="1">
      <c r="A185" s="100"/>
      <c r="B185" s="100"/>
      <c r="C185" s="100" t="s">
        <v>29</v>
      </c>
      <c r="D185" s="348"/>
      <c r="E185" s="349"/>
      <c r="F185" s="100"/>
      <c r="G185" s="350"/>
      <c r="H185" s="100"/>
      <c r="I185" s="351" t="s">
        <v>7</v>
      </c>
      <c r="J185" s="122">
        <f>SUM(J165:J184)</f>
        <v>451480.37</v>
      </c>
      <c r="K185" s="122"/>
    </row>
    <row r="186" spans="1:11" ht="13.5" thickTop="1">
      <c r="J186" s="102"/>
      <c r="K186" s="93"/>
    </row>
    <row r="187" spans="1:11">
      <c r="A187" s="124" t="s">
        <v>83</v>
      </c>
      <c r="B187" s="124"/>
      <c r="C187" s="124"/>
      <c r="D187" s="125"/>
      <c r="E187" s="357"/>
      <c r="F187" s="125"/>
      <c r="G187" s="125"/>
      <c r="H187" s="126"/>
      <c r="I187" s="124"/>
      <c r="J187" s="126"/>
      <c r="K187" s="149"/>
    </row>
    <row r="188" spans="1:11">
      <c r="A188" s="124"/>
      <c r="B188" s="124"/>
      <c r="C188" s="124"/>
      <c r="D188" s="125"/>
      <c r="E188" s="357"/>
      <c r="F188" s="125"/>
      <c r="G188" s="125"/>
      <c r="H188" s="126"/>
      <c r="I188" s="124"/>
      <c r="J188" s="126"/>
      <c r="K188" s="149"/>
    </row>
    <row r="189" spans="1:11">
      <c r="A189" s="124"/>
      <c r="B189" s="124"/>
      <c r="C189" s="124"/>
      <c r="D189" s="125"/>
      <c r="E189" s="357"/>
      <c r="F189" s="125"/>
      <c r="G189" s="125"/>
      <c r="H189" s="126"/>
      <c r="I189" s="124"/>
      <c r="J189" s="126"/>
      <c r="K189" s="149"/>
    </row>
    <row r="190" spans="1:11">
      <c r="A190" s="129" t="s">
        <v>373</v>
      </c>
      <c r="B190" s="124"/>
      <c r="C190" s="124"/>
      <c r="D190" s="125"/>
      <c r="E190" s="357"/>
      <c r="F190" s="125"/>
      <c r="G190" s="125"/>
      <c r="H190" s="126"/>
      <c r="I190" s="124"/>
      <c r="J190" s="126"/>
      <c r="K190" s="149"/>
    </row>
    <row r="191" spans="1:11">
      <c r="A191" s="124" t="s">
        <v>180</v>
      </c>
      <c r="B191" s="124"/>
      <c r="C191" s="124"/>
      <c r="D191" s="125"/>
      <c r="E191" s="357"/>
      <c r="F191" s="125"/>
      <c r="G191" s="125"/>
      <c r="H191" s="126"/>
      <c r="I191" s="124"/>
      <c r="J191" s="126"/>
      <c r="K191" s="149"/>
    </row>
    <row r="192" spans="1:11"/>
    <row r="193" spans="7:7"/>
    <row r="194" spans="7:7">
      <c r="G194" s="88"/>
    </row>
    <row r="195" spans="7:7"/>
    <row r="196" spans="7:7"/>
    <row r="197" spans="7:7"/>
    <row r="198" spans="7:7"/>
    <row r="199" spans="7:7"/>
    <row r="200" spans="7:7"/>
    <row r="201" spans="7:7"/>
    <row r="202" spans="7:7"/>
    <row r="203" spans="7:7"/>
    <row r="204" spans="7:7"/>
    <row r="205" spans="7:7"/>
    <row r="206" spans="7:7"/>
    <row r="207" spans="7:7"/>
    <row r="208" spans="7:7"/>
    <row r="209"/>
    <row r="210"/>
    <row r="211"/>
    <row r="212"/>
    <row r="213"/>
    <row r="214"/>
    <row r="215"/>
    <row r="216"/>
    <row r="217"/>
    <row r="218"/>
    <row r="219"/>
    <row r="220"/>
    <row r="221"/>
    <row r="222" ht="12.75" hidden="1" customHeight="1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 ht="12.75" hidden="1" customHeight="1"/>
    <row r="1174" ht="12.75" hidden="1" customHeight="1"/>
    <row r="1175" ht="12.75" hidden="1" customHeight="1"/>
    <row r="1176" ht="12.75" hidden="1" customHeight="1"/>
    <row r="1177" ht="12.75" hidden="1" customHeight="1"/>
    <row r="1178" ht="12.75" hidden="1" customHeight="1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</sheetData>
  <mergeCells count="9">
    <mergeCell ref="G74:G75"/>
    <mergeCell ref="K77:K78"/>
    <mergeCell ref="I59:I60"/>
    <mergeCell ref="I62:I63"/>
    <mergeCell ref="K69:K70"/>
    <mergeCell ref="J72:J73"/>
    <mergeCell ref="K72:K73"/>
    <mergeCell ref="J62:J63"/>
    <mergeCell ref="J59:J60"/>
  </mergeCells>
  <phoneticPr fontId="30" type="noConversion"/>
  <printOptions horizontalCentered="1"/>
  <pageMargins left="0.24" right="0" top="0.46" bottom="0.21" header="0.15" footer="0.21"/>
  <pageSetup paperSize="9" scale="75" fitToWidth="0" fitToHeight="0" orientation="portrait" horizontalDpi="4294967292" verticalDpi="7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305"/>
  <sheetViews>
    <sheetView showGridLines="0" zoomScale="115" zoomScaleNormal="100" zoomScaleSheetLayoutView="85" workbookViewId="0">
      <pane xSplit="1" ySplit="6" topLeftCell="B36" activePane="bottomRight" state="frozen"/>
      <selection activeCell="AB26" sqref="AB26"/>
      <selection pane="topRight" activeCell="AB26" sqref="AB26"/>
      <selection pane="bottomLeft" activeCell="AB26" sqref="AB26"/>
      <selection pane="bottomRight" activeCell="A49" sqref="A49:IV49"/>
    </sheetView>
  </sheetViews>
  <sheetFormatPr defaultColWidth="0" defaultRowHeight="15"/>
  <cols>
    <col min="1" max="1" width="33.28515625" style="130" customWidth="1"/>
    <col min="2" max="2" width="9.140625" style="134" customWidth="1"/>
    <col min="3" max="3" width="1.42578125" style="135" customWidth="1"/>
    <col min="4" max="4" width="12.85546875" style="135" customWidth="1"/>
    <col min="5" max="5" width="1.5703125" style="135" customWidth="1"/>
    <col min="6" max="6" width="12.85546875" style="282" customWidth="1"/>
    <col min="7" max="7" width="1.42578125" style="135" hidden="1" customWidth="1"/>
    <col min="8" max="8" width="11.140625" style="135" hidden="1" customWidth="1"/>
    <col min="9" max="9" width="1.5703125" style="135" hidden="1" customWidth="1"/>
    <col min="10" max="10" width="12.28515625" style="135" hidden="1" customWidth="1"/>
    <col min="11" max="11" width="1.42578125" style="135" hidden="1" customWidth="1"/>
    <col min="12" max="12" width="11.140625" style="135" hidden="1" customWidth="1"/>
    <col min="13" max="13" width="1.5703125" style="135" hidden="1" customWidth="1"/>
    <col min="14" max="14" width="11.7109375" style="135" hidden="1" customWidth="1"/>
    <col min="15" max="15" width="1.42578125" style="135" hidden="1" customWidth="1"/>
    <col min="16" max="16" width="11.140625" style="135" hidden="1" customWidth="1"/>
    <col min="17" max="17" width="1.5703125" style="135" hidden="1" customWidth="1"/>
    <col min="18" max="18" width="11" style="135" hidden="1" customWidth="1"/>
    <col min="19" max="19" width="1.42578125" style="135" hidden="1" customWidth="1"/>
    <col min="20" max="20" width="11.140625" style="135" hidden="1" customWidth="1"/>
    <col min="21" max="21" width="1.7109375" style="135" hidden="1" customWidth="1"/>
    <col min="22" max="22" width="11" style="135" hidden="1" customWidth="1"/>
    <col min="23" max="23" width="1.42578125" style="135" hidden="1" customWidth="1"/>
    <col min="24" max="24" width="11.140625" style="135" hidden="1" customWidth="1"/>
    <col min="25" max="25" width="1.28515625" style="135" hidden="1" customWidth="1"/>
    <col min="26" max="26" width="11" style="135" hidden="1" customWidth="1"/>
    <col min="27" max="27" width="1.42578125" style="135" hidden="1" customWidth="1"/>
    <col min="28" max="28" width="11.140625" style="135" hidden="1" customWidth="1"/>
    <col min="29" max="29" width="1.5703125" style="135" hidden="1" customWidth="1"/>
    <col min="30" max="30" width="11" style="135" hidden="1" customWidth="1"/>
    <col min="31" max="31" width="1.5703125" style="135" hidden="1" customWidth="1"/>
    <col min="32" max="32" width="13.5703125" style="136" hidden="1" customWidth="1"/>
    <col min="33" max="33" width="1.5703125" style="135" hidden="1" customWidth="1"/>
    <col min="34" max="34" width="16.42578125" style="135" hidden="1" customWidth="1"/>
    <col min="35" max="35" width="1.7109375" style="136" hidden="1" customWidth="1"/>
    <col min="36" max="36" width="12.7109375" style="136" hidden="1" customWidth="1"/>
    <col min="37" max="37" width="1.5703125" style="135" hidden="1" customWidth="1"/>
    <col min="38" max="38" width="11" style="135" hidden="1" customWidth="1"/>
    <col min="39" max="39" width="2.85546875" style="136" hidden="1" customWidth="1"/>
    <col min="40" max="40" width="12.28515625" style="136" hidden="1" customWidth="1"/>
    <col min="41" max="41" width="1.5703125" style="135" hidden="1" customWidth="1"/>
    <col min="42" max="42" width="13" style="135" hidden="1" customWidth="1"/>
    <col min="43" max="43" width="4.28515625" style="136" hidden="1" customWidth="1"/>
    <col min="44" max="44" width="13" style="136" hidden="1" customWidth="1"/>
    <col min="45" max="45" width="1.7109375" style="136" hidden="1" customWidth="1"/>
    <col min="46" max="46" width="12.28515625" style="137" hidden="1" customWidth="1"/>
    <col min="47" max="47" width="0.42578125" style="138" hidden="1" customWidth="1"/>
    <col min="48" max="49" width="12.28515625" style="137" hidden="1" customWidth="1"/>
    <col min="50" max="55" width="0" style="138" hidden="1"/>
    <col min="56" max="56" width="11" style="138" hidden="1" customWidth="1"/>
    <col min="57" max="57" width="12.85546875" style="138" hidden="1" customWidth="1"/>
    <col min="58" max="58" width="11" style="138" hidden="1" customWidth="1"/>
    <col min="59" max="59" width="12.85546875" style="138" hidden="1" customWidth="1"/>
    <col min="60" max="16384" width="0" style="138" hidden="1"/>
  </cols>
  <sheetData>
    <row r="1" spans="1:254" s="130" customFormat="1" ht="19.5" customHeight="1" thickBot="1">
      <c r="A1" s="540" t="s">
        <v>85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</row>
    <row r="2" spans="1:254" s="131" customFormat="1">
      <c r="A2" s="541" t="s">
        <v>43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1"/>
      <c r="AK2" s="541"/>
      <c r="AL2" s="541"/>
      <c r="AM2" s="541"/>
      <c r="AN2" s="541"/>
      <c r="AO2" s="541"/>
      <c r="AP2" s="541"/>
      <c r="AQ2" s="541"/>
      <c r="AR2" s="541"/>
      <c r="AS2" s="541"/>
      <c r="AT2" s="541"/>
    </row>
    <row r="3" spans="1:254" s="131" customFormat="1">
      <c r="A3" s="542" t="s">
        <v>449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</row>
    <row r="4" spans="1:254" s="131" customFormat="1">
      <c r="A4" s="543"/>
      <c r="B4" s="543"/>
      <c r="C4" s="543"/>
      <c r="D4" s="543"/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  <c r="AN4" s="543"/>
      <c r="AO4" s="543"/>
      <c r="AP4" s="543"/>
      <c r="AQ4" s="543"/>
      <c r="AR4" s="543"/>
      <c r="AS4" s="543"/>
      <c r="AT4" s="543"/>
    </row>
    <row r="5" spans="1:254" s="132" customFormat="1" ht="15" customHeight="1">
      <c r="A5" s="275"/>
      <c r="B5" s="275"/>
      <c r="C5" s="276"/>
      <c r="D5" s="276"/>
      <c r="E5" s="275"/>
      <c r="F5" s="538" t="s">
        <v>448</v>
      </c>
      <c r="G5" s="276"/>
      <c r="H5" s="276"/>
      <c r="I5" s="275"/>
      <c r="J5" s="536" t="s">
        <v>391</v>
      </c>
      <c r="K5" s="276"/>
      <c r="L5" s="276"/>
      <c r="M5" s="275"/>
      <c r="N5" s="536" t="s">
        <v>397</v>
      </c>
      <c r="O5" s="276"/>
      <c r="P5" s="276"/>
      <c r="Q5" s="275"/>
      <c r="R5" s="536" t="s">
        <v>400</v>
      </c>
      <c r="S5" s="276"/>
      <c r="T5" s="276"/>
      <c r="U5" s="276"/>
      <c r="V5" s="536" t="s">
        <v>405</v>
      </c>
      <c r="W5" s="276"/>
      <c r="X5" s="276"/>
      <c r="Y5" s="276"/>
      <c r="Z5" s="536" t="s">
        <v>326</v>
      </c>
      <c r="AA5" s="276"/>
      <c r="AB5" s="276"/>
      <c r="AC5" s="276"/>
      <c r="AD5" s="536" t="s">
        <v>327</v>
      </c>
      <c r="AE5" s="200"/>
      <c r="AF5" s="201"/>
      <c r="AG5" s="200"/>
      <c r="AH5" s="536" t="s">
        <v>328</v>
      </c>
      <c r="AI5" s="445"/>
      <c r="AJ5" s="445"/>
      <c r="AK5" s="276"/>
      <c r="AL5" s="536" t="s">
        <v>329</v>
      </c>
      <c r="AM5" s="445"/>
      <c r="AN5" s="445"/>
      <c r="AO5" s="276"/>
      <c r="AP5" s="536" t="s">
        <v>330</v>
      </c>
      <c r="AQ5" s="445"/>
      <c r="AR5" s="445"/>
      <c r="AS5" s="445"/>
      <c r="AT5" s="536" t="s">
        <v>384</v>
      </c>
      <c r="AV5" s="536" t="s">
        <v>384</v>
      </c>
      <c r="AW5" s="536" t="s">
        <v>384</v>
      </c>
    </row>
    <row r="6" spans="1:254" s="133" customFormat="1" ht="15" customHeight="1">
      <c r="A6" s="277" t="s">
        <v>2</v>
      </c>
      <c r="B6" s="278" t="s">
        <v>3</v>
      </c>
      <c r="C6" s="279"/>
      <c r="D6" s="279" t="s">
        <v>322</v>
      </c>
      <c r="E6" s="277"/>
      <c r="F6" s="539"/>
      <c r="G6" s="279"/>
      <c r="H6" s="279" t="s">
        <v>323</v>
      </c>
      <c r="I6" s="277"/>
      <c r="J6" s="537"/>
      <c r="K6" s="279"/>
      <c r="L6" s="279" t="s">
        <v>324</v>
      </c>
      <c r="M6" s="277"/>
      <c r="N6" s="537"/>
      <c r="O6" s="279"/>
      <c r="P6" s="279" t="s">
        <v>325</v>
      </c>
      <c r="Q6" s="277"/>
      <c r="R6" s="537"/>
      <c r="S6" s="279"/>
      <c r="T6" s="279" t="s">
        <v>196</v>
      </c>
      <c r="U6" s="279"/>
      <c r="V6" s="537"/>
      <c r="W6" s="279"/>
      <c r="X6" s="279" t="s">
        <v>46</v>
      </c>
      <c r="Y6" s="279"/>
      <c r="Z6" s="537"/>
      <c r="AA6" s="279"/>
      <c r="AB6" s="279" t="s">
        <v>47</v>
      </c>
      <c r="AC6" s="279"/>
      <c r="AD6" s="537"/>
      <c r="AE6" s="202"/>
      <c r="AF6" s="279" t="s">
        <v>40</v>
      </c>
      <c r="AG6" s="202"/>
      <c r="AH6" s="537"/>
      <c r="AI6" s="446"/>
      <c r="AJ6" s="446" t="s">
        <v>48</v>
      </c>
      <c r="AK6" s="279"/>
      <c r="AL6" s="537"/>
      <c r="AM6" s="446"/>
      <c r="AN6" s="446" t="s">
        <v>49</v>
      </c>
      <c r="AO6" s="279"/>
      <c r="AP6" s="537"/>
      <c r="AQ6" s="446"/>
      <c r="AR6" s="446" t="s">
        <v>50</v>
      </c>
      <c r="AS6" s="446"/>
      <c r="AT6" s="537"/>
      <c r="AV6" s="537"/>
      <c r="AW6" s="537"/>
    </row>
    <row r="7" spans="1:254" ht="8.25" customHeight="1">
      <c r="E7" s="134"/>
      <c r="I7" s="134"/>
      <c r="M7" s="134"/>
      <c r="Q7" s="134"/>
      <c r="AE7" s="203"/>
      <c r="AF7" s="135"/>
      <c r="AG7" s="203"/>
    </row>
    <row r="8" spans="1:254">
      <c r="A8" s="280"/>
      <c r="B8" s="281"/>
      <c r="C8" s="282"/>
      <c r="D8" s="282"/>
      <c r="E8" s="281"/>
      <c r="G8" s="282"/>
      <c r="H8" s="282"/>
      <c r="I8" s="281"/>
      <c r="J8" s="282"/>
      <c r="K8" s="282"/>
      <c r="L8" s="282"/>
      <c r="M8" s="281"/>
      <c r="N8" s="282"/>
      <c r="O8" s="282"/>
      <c r="P8" s="282"/>
      <c r="Q8" s="281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05"/>
      <c r="AF8" s="282"/>
      <c r="AG8" s="205"/>
      <c r="AH8" s="282"/>
      <c r="AI8" s="137"/>
      <c r="AJ8" s="137"/>
      <c r="AK8" s="282"/>
      <c r="AL8" s="282"/>
      <c r="AM8" s="137"/>
      <c r="AN8" s="137"/>
      <c r="AO8" s="282"/>
      <c r="AP8" s="282"/>
      <c r="AQ8" s="137"/>
      <c r="AR8" s="137"/>
      <c r="AS8" s="137"/>
    </row>
    <row r="9" spans="1:254">
      <c r="A9" s="280" t="s">
        <v>51</v>
      </c>
      <c r="B9" s="283">
        <v>1</v>
      </c>
      <c r="C9" s="285" t="s">
        <v>7</v>
      </c>
      <c r="D9" s="135">
        <f>-SUM(TB!G47:G51)</f>
        <v>565150.48</v>
      </c>
      <c r="E9" s="284" t="s">
        <v>7</v>
      </c>
      <c r="F9" s="282">
        <f>D9</f>
        <v>565150.48</v>
      </c>
      <c r="G9" s="285" t="s">
        <v>7</v>
      </c>
      <c r="H9" s="135">
        <f>-SUM(TB!M47:M51)</f>
        <v>1021912.88</v>
      </c>
      <c r="I9" s="284" t="s">
        <v>7</v>
      </c>
      <c r="J9" s="135">
        <f>F9+H9</f>
        <v>1587063.3599999999</v>
      </c>
      <c r="K9" s="285" t="s">
        <v>7</v>
      </c>
      <c r="L9" s="135">
        <f>-SUM(TB!S47:S51)</f>
        <v>981734.13</v>
      </c>
      <c r="M9" s="284" t="s">
        <v>7</v>
      </c>
      <c r="N9" s="135">
        <f>J9+L9</f>
        <v>2568797.4899999998</v>
      </c>
      <c r="O9" s="285" t="s">
        <v>7</v>
      </c>
      <c r="P9" s="135">
        <f>-SUM(TB!Y47:Y51)</f>
        <v>554477.09</v>
      </c>
      <c r="Q9" s="284" t="s">
        <v>7</v>
      </c>
      <c r="R9" s="135">
        <f>N9+P9</f>
        <v>3123274.5799999996</v>
      </c>
      <c r="S9" s="285" t="s">
        <v>7</v>
      </c>
      <c r="T9" s="135">
        <f>-SUM(TB!AE47:AE51)</f>
        <v>484730.54714285699</v>
      </c>
      <c r="U9" s="285" t="s">
        <v>7</v>
      </c>
      <c r="V9" s="135">
        <f>R9+T9</f>
        <v>3608005.1271428568</v>
      </c>
      <c r="W9" s="285" t="s">
        <v>7</v>
      </c>
      <c r="X9" s="135">
        <f>-SUM(TB!AQ47:AQ51)</f>
        <v>0</v>
      </c>
      <c r="Y9" s="285" t="s">
        <v>7</v>
      </c>
      <c r="Z9" s="135">
        <f>V9+X9</f>
        <v>3608005.1271428568</v>
      </c>
      <c r="AA9" s="285" t="s">
        <v>7</v>
      </c>
      <c r="AB9" s="135">
        <f>-SUM(TB!AW47:AW51)</f>
        <v>0</v>
      </c>
      <c r="AC9" s="285" t="s">
        <v>7</v>
      </c>
      <c r="AD9" s="135">
        <f>Z9+AB9</f>
        <v>3608005.1271428568</v>
      </c>
      <c r="AE9" s="285" t="s">
        <v>7</v>
      </c>
      <c r="AF9" s="135">
        <f>-SUM(TB!BC47:BC51)</f>
        <v>0</v>
      </c>
      <c r="AG9" s="285" t="s">
        <v>7</v>
      </c>
      <c r="AH9" s="135">
        <f>AD9+AF9</f>
        <v>3608005.1271428568</v>
      </c>
      <c r="AI9" s="447"/>
      <c r="AJ9" s="135">
        <f>-SUM(TB!BI47:BI51)</f>
        <v>0</v>
      </c>
      <c r="AK9" s="285" t="s">
        <v>7</v>
      </c>
      <c r="AL9" s="135">
        <f>AH9+AJ9</f>
        <v>3608005.1271428568</v>
      </c>
      <c r="AM9" s="447"/>
      <c r="AN9" s="135">
        <f>-SUM(TB!BO47:BO51)</f>
        <v>0</v>
      </c>
      <c r="AO9" s="285" t="s">
        <v>7</v>
      </c>
      <c r="AP9" s="135">
        <f>AL9+AN9</f>
        <v>3608005.1271428568</v>
      </c>
      <c r="AQ9" s="447"/>
      <c r="AR9" s="135">
        <f>-SUM(TB!BU47:BU51)</f>
        <v>0</v>
      </c>
      <c r="AS9" s="285" t="s">
        <v>7</v>
      </c>
      <c r="AT9" s="135">
        <f>AP9+AR9</f>
        <v>3608005.1271428568</v>
      </c>
      <c r="AV9" s="135">
        <f>AR9+AT9</f>
        <v>3608005.1271428568</v>
      </c>
      <c r="AW9" s="135" t="e">
        <f>AS9+AU9</f>
        <v>#VALUE!</v>
      </c>
    </row>
    <row r="10" spans="1:254" ht="8.25" customHeight="1">
      <c r="B10" s="283"/>
      <c r="E10" s="134"/>
      <c r="I10" s="134"/>
      <c r="M10" s="134"/>
      <c r="Q10" s="134"/>
      <c r="AE10" s="203"/>
      <c r="AF10" s="135"/>
      <c r="AJ10" s="135"/>
      <c r="AN10" s="135"/>
      <c r="AR10" s="135"/>
      <c r="AS10" s="135"/>
      <c r="AT10" s="135"/>
      <c r="AV10" s="135"/>
      <c r="AW10" s="135"/>
    </row>
    <row r="11" spans="1:254" s="483" customFormat="1" ht="18.75" customHeight="1">
      <c r="A11" s="313" t="s">
        <v>52</v>
      </c>
      <c r="B11" s="487">
        <v>2</v>
      </c>
      <c r="C11" s="307"/>
      <c r="D11" s="307">
        <f>SUM(TB!G56:G57)</f>
        <v>386856.88462285715</v>
      </c>
      <c r="E11" s="324"/>
      <c r="F11" s="282">
        <f>D11</f>
        <v>386856.88462285715</v>
      </c>
      <c r="G11" s="307"/>
      <c r="H11" s="307">
        <f>SUM(TB!M56:M57)</f>
        <v>654060.08334999997</v>
      </c>
      <c r="I11" s="324"/>
      <c r="J11" s="307">
        <f>F11+H11</f>
        <v>1040916.9679728572</v>
      </c>
      <c r="K11" s="307"/>
      <c r="L11" s="307">
        <f>SUM(TB!S56:S57)</f>
        <v>633907.68232000002</v>
      </c>
      <c r="M11" s="324"/>
      <c r="N11" s="307">
        <f>J11+L11</f>
        <v>1674824.6502928571</v>
      </c>
      <c r="O11" s="307"/>
      <c r="P11" s="307">
        <f>SUM(TB!Y56:Y57)</f>
        <v>397938.37358428584</v>
      </c>
      <c r="Q11" s="324"/>
      <c r="R11" s="307">
        <f>N11+P11</f>
        <v>2072763.0238771429</v>
      </c>
      <c r="S11" s="307"/>
      <c r="T11" s="307">
        <f>SUM(TB!AE56:AE57)</f>
        <v>339118.32991000015</v>
      </c>
      <c r="U11" s="307"/>
      <c r="V11" s="307">
        <f>R11+T11</f>
        <v>2411881.3537871432</v>
      </c>
      <c r="W11" s="307"/>
      <c r="X11" s="307">
        <f>SUM(TB!AQ56:AQ57)</f>
        <v>0</v>
      </c>
      <c r="Y11" s="307"/>
      <c r="Z11" s="307">
        <f>V11+X11</f>
        <v>2411881.3537871432</v>
      </c>
      <c r="AA11" s="307"/>
      <c r="AB11" s="307">
        <f>SUM(TB!AW56:AW57)</f>
        <v>0</v>
      </c>
      <c r="AC11" s="307"/>
      <c r="AD11" s="307">
        <f>Z11+AB11</f>
        <v>2411881.3537871432</v>
      </c>
      <c r="AE11" s="208"/>
      <c r="AF11" s="307">
        <f>SUM(TB!BC56:BC57)</f>
        <v>0</v>
      </c>
      <c r="AG11" s="307"/>
      <c r="AH11" s="307">
        <f>AD11+AF11</f>
        <v>2411881.3537871432</v>
      </c>
      <c r="AI11" s="458"/>
      <c r="AJ11" s="307">
        <f>SUM(TB!BI56:BI57)</f>
        <v>0</v>
      </c>
      <c r="AK11" s="307"/>
      <c r="AL11" s="307">
        <f>AH11+AJ11</f>
        <v>2411881.3537871432</v>
      </c>
      <c r="AM11" s="458"/>
      <c r="AN11" s="307">
        <f>SUM(TB!BO56:BO57)</f>
        <v>0</v>
      </c>
      <c r="AO11" s="307"/>
      <c r="AP11" s="307">
        <f>AL11+AN11</f>
        <v>2411881.3537871432</v>
      </c>
      <c r="AQ11" s="488"/>
      <c r="AR11" s="307">
        <f>SUM(TB!BU56:BU57)</f>
        <v>0</v>
      </c>
      <c r="AS11" s="307"/>
      <c r="AT11" s="307">
        <f>AP11+AR11</f>
        <v>2411881.3537871432</v>
      </c>
      <c r="AV11" s="307">
        <f t="shared" ref="AV11:AW14" si="0">AR11+AT11</f>
        <v>2411881.3537871432</v>
      </c>
      <c r="AW11" s="307">
        <f t="shared" si="0"/>
        <v>0</v>
      </c>
    </row>
    <row r="12" spans="1:254" s="483" customFormat="1" ht="20.25" customHeight="1">
      <c r="A12" s="313" t="s">
        <v>127</v>
      </c>
      <c r="B12" s="481"/>
      <c r="C12" s="484"/>
      <c r="D12" s="307">
        <f>-TB!G52</f>
        <v>111583.26</v>
      </c>
      <c r="E12" s="481"/>
      <c r="F12" s="315">
        <f>D12</f>
        <v>111583.26</v>
      </c>
      <c r="G12" s="484"/>
      <c r="H12" s="315">
        <f>-TB!M52</f>
        <v>101561.61</v>
      </c>
      <c r="I12" s="481"/>
      <c r="J12" s="307">
        <f>F12+H12</f>
        <v>213144.87</v>
      </c>
      <c r="K12" s="484"/>
      <c r="L12" s="315">
        <f>-TB!S52</f>
        <v>189655.96</v>
      </c>
      <c r="M12" s="481"/>
      <c r="N12" s="307">
        <f>J12+L12</f>
        <v>402800.82999999996</v>
      </c>
      <c r="O12" s="484"/>
      <c r="P12" s="315">
        <f>-TB!Y52</f>
        <v>104031.25</v>
      </c>
      <c r="Q12" s="481"/>
      <c r="R12" s="307">
        <f>N12+P12</f>
        <v>506832.07999999996</v>
      </c>
      <c r="S12" s="484"/>
      <c r="T12" s="315">
        <f>-TB!AE52</f>
        <v>91951.63</v>
      </c>
      <c r="U12" s="484"/>
      <c r="V12" s="307">
        <f>R12+T12</f>
        <v>598783.71</v>
      </c>
      <c r="W12" s="484"/>
      <c r="X12" s="315">
        <f>-TB!AQ52</f>
        <v>0</v>
      </c>
      <c r="Y12" s="484"/>
      <c r="Z12" s="307">
        <f>V12+X12</f>
        <v>598783.71</v>
      </c>
      <c r="AA12" s="484"/>
      <c r="AB12" s="315">
        <f>-TB!AW52</f>
        <v>0</v>
      </c>
      <c r="AC12" s="484"/>
      <c r="AD12" s="307">
        <f>Z12+AB12</f>
        <v>598783.71</v>
      </c>
      <c r="AE12" s="485"/>
      <c r="AF12" s="315">
        <f>-TB!BC52</f>
        <v>0</v>
      </c>
      <c r="AG12" s="484"/>
      <c r="AH12" s="307">
        <f>AD12+AF12</f>
        <v>598783.71</v>
      </c>
      <c r="AI12" s="486"/>
      <c r="AJ12" s="315">
        <f>-TB!BI52</f>
        <v>0</v>
      </c>
      <c r="AK12" s="484"/>
      <c r="AL12" s="307">
        <f>AH12+AJ12</f>
        <v>598783.71</v>
      </c>
      <c r="AM12" s="486"/>
      <c r="AN12" s="307">
        <f>-TB!BO52</f>
        <v>0</v>
      </c>
      <c r="AO12" s="484"/>
      <c r="AP12" s="307">
        <f>AL12+AN12</f>
        <v>598783.71</v>
      </c>
      <c r="AQ12" s="486"/>
      <c r="AR12" s="315">
        <f>-TB!BU52</f>
        <v>0</v>
      </c>
      <c r="AS12" s="484"/>
      <c r="AT12" s="307">
        <f>AP12+AR12</f>
        <v>598783.71</v>
      </c>
      <c r="AV12" s="307">
        <f t="shared" si="0"/>
        <v>598783.71</v>
      </c>
      <c r="AW12" s="307">
        <f t="shared" si="0"/>
        <v>0</v>
      </c>
    </row>
    <row r="13" spans="1:254" s="483" customFormat="1" ht="20.25" hidden="1" customHeight="1">
      <c r="A13" s="313"/>
      <c r="B13" s="481"/>
      <c r="C13" s="484"/>
      <c r="D13" s="307">
        <f>D9-D11</f>
        <v>178293.59537714283</v>
      </c>
      <c r="E13" s="481"/>
      <c r="F13" s="315">
        <f>D13</f>
        <v>178293.59537714283</v>
      </c>
      <c r="G13" s="484"/>
      <c r="H13" s="315"/>
      <c r="I13" s="481"/>
      <c r="J13" s="307"/>
      <c r="K13" s="484"/>
      <c r="L13" s="315"/>
      <c r="M13" s="481"/>
      <c r="N13" s="307"/>
      <c r="O13" s="484"/>
      <c r="P13" s="315"/>
      <c r="Q13" s="481"/>
      <c r="R13" s="307"/>
      <c r="S13" s="484"/>
      <c r="T13" s="315"/>
      <c r="U13" s="484"/>
      <c r="V13" s="307"/>
      <c r="W13" s="484"/>
      <c r="X13" s="315"/>
      <c r="Y13" s="484"/>
      <c r="Z13" s="307"/>
      <c r="AA13" s="484"/>
      <c r="AB13" s="315"/>
      <c r="AC13" s="484"/>
      <c r="AD13" s="307"/>
      <c r="AE13" s="485"/>
      <c r="AF13" s="315"/>
      <c r="AG13" s="484"/>
      <c r="AH13" s="307"/>
      <c r="AI13" s="486"/>
      <c r="AJ13" s="315"/>
      <c r="AK13" s="484"/>
      <c r="AL13" s="307"/>
      <c r="AM13" s="486"/>
      <c r="AN13" s="307"/>
      <c r="AO13" s="484"/>
      <c r="AP13" s="307"/>
      <c r="AQ13" s="486"/>
      <c r="AR13" s="315"/>
      <c r="AS13" s="484"/>
      <c r="AT13" s="307"/>
      <c r="AV13" s="307"/>
      <c r="AW13" s="307"/>
    </row>
    <row r="14" spans="1:254" s="139" customFormat="1" ht="20.25" customHeight="1">
      <c r="A14" s="286" t="s">
        <v>128</v>
      </c>
      <c r="B14" s="301"/>
      <c r="C14" s="477"/>
      <c r="D14" s="289">
        <f>-TB!G53</f>
        <v>6517.86</v>
      </c>
      <c r="E14" s="301"/>
      <c r="F14" s="302">
        <f>D14</f>
        <v>6517.86</v>
      </c>
      <c r="G14" s="477"/>
      <c r="H14" s="302">
        <f>-TB!M53</f>
        <v>10205.36</v>
      </c>
      <c r="I14" s="301"/>
      <c r="J14" s="289">
        <f>F14+H14</f>
        <v>16723.22</v>
      </c>
      <c r="K14" s="477"/>
      <c r="L14" s="302">
        <f>-TB!S53</f>
        <v>44622.76</v>
      </c>
      <c r="M14" s="301"/>
      <c r="N14" s="289">
        <f>J14+L14</f>
        <v>61345.98</v>
      </c>
      <c r="O14" s="477"/>
      <c r="P14" s="302">
        <f>-TB!Y53</f>
        <v>1071.43</v>
      </c>
      <c r="Q14" s="301"/>
      <c r="R14" s="289">
        <f>N14+P14</f>
        <v>62417.41</v>
      </c>
      <c r="S14" s="477"/>
      <c r="T14" s="302">
        <f>-TB!AE53</f>
        <v>6816.96</v>
      </c>
      <c r="U14" s="477"/>
      <c r="V14" s="289">
        <f>R14+T14</f>
        <v>69234.37000000001</v>
      </c>
      <c r="W14" s="477"/>
      <c r="X14" s="302">
        <f>-TB!AQ53</f>
        <v>0</v>
      </c>
      <c r="Y14" s="477"/>
      <c r="Z14" s="289">
        <f>V14+X14</f>
        <v>69234.37000000001</v>
      </c>
      <c r="AA14" s="477"/>
      <c r="AB14" s="302">
        <f>-TB!AW53</f>
        <v>0</v>
      </c>
      <c r="AC14" s="477"/>
      <c r="AD14" s="289">
        <f>Z14+AB14</f>
        <v>69234.37000000001</v>
      </c>
      <c r="AE14" s="478"/>
      <c r="AF14" s="302">
        <f>-TB!BC53</f>
        <v>0</v>
      </c>
      <c r="AG14" s="477"/>
      <c r="AH14" s="289">
        <f>AD14+AF14</f>
        <v>69234.37000000001</v>
      </c>
      <c r="AI14" s="476"/>
      <c r="AJ14" s="302">
        <f>-TB!BI53</f>
        <v>0</v>
      </c>
      <c r="AK14" s="477"/>
      <c r="AL14" s="289">
        <f>AH14+AJ14</f>
        <v>69234.37000000001</v>
      </c>
      <c r="AM14" s="476"/>
      <c r="AN14" s="289">
        <f>-TB!BO53</f>
        <v>0</v>
      </c>
      <c r="AO14" s="477"/>
      <c r="AP14" s="289">
        <f>AL14+AN14</f>
        <v>69234.37000000001</v>
      </c>
      <c r="AQ14" s="476"/>
      <c r="AR14" s="302">
        <f>-TB!BU53</f>
        <v>0</v>
      </c>
      <c r="AS14" s="477"/>
      <c r="AT14" s="289">
        <f>AP14+AR14</f>
        <v>69234.37000000001</v>
      </c>
      <c r="AV14" s="289">
        <f t="shared" si="0"/>
        <v>69234.37000000001</v>
      </c>
      <c r="AW14" s="289">
        <f t="shared" si="0"/>
        <v>0</v>
      </c>
    </row>
    <row r="15" spans="1:254" s="140" customFormat="1" ht="18.75" customHeight="1">
      <c r="A15" s="280" t="s">
        <v>53</v>
      </c>
      <c r="B15" s="284"/>
      <c r="C15" s="290"/>
      <c r="D15" s="290">
        <f>+D9-D11+D12+D14</f>
        <v>296394.71537714283</v>
      </c>
      <c r="E15" s="290"/>
      <c r="F15" s="290">
        <f t="shared" ref="F15:N15" si="1">+F9-F11+F12+F14</f>
        <v>296394.71537714283</v>
      </c>
      <c r="G15" s="290"/>
      <c r="H15" s="290">
        <f t="shared" si="1"/>
        <v>479619.76665000001</v>
      </c>
      <c r="I15" s="290"/>
      <c r="J15" s="290">
        <f t="shared" si="1"/>
        <v>776014.48202714266</v>
      </c>
      <c r="K15" s="290"/>
      <c r="L15" s="290">
        <f t="shared" si="1"/>
        <v>582105.16767999995</v>
      </c>
      <c r="M15" s="290"/>
      <c r="N15" s="290">
        <f t="shared" si="1"/>
        <v>1358119.6497071427</v>
      </c>
      <c r="O15" s="290"/>
      <c r="P15" s="290">
        <f t="shared" ref="P15:BN15" si="2">+P9-P11+P12</f>
        <v>260569.96641571412</v>
      </c>
      <c r="Q15" s="290"/>
      <c r="R15" s="290">
        <f t="shared" si="2"/>
        <v>1557343.6361228568</v>
      </c>
      <c r="S15" s="290"/>
      <c r="T15" s="290">
        <f t="shared" si="2"/>
        <v>237563.84723285685</v>
      </c>
      <c r="U15" s="290"/>
      <c r="V15" s="290">
        <f>+V9-V11+V12</f>
        <v>1794907.4833557135</v>
      </c>
      <c r="W15" s="290" t="e">
        <f t="shared" si="2"/>
        <v>#VALUE!</v>
      </c>
      <c r="X15" s="290">
        <f t="shared" si="2"/>
        <v>0</v>
      </c>
      <c r="Y15" s="290" t="e">
        <f t="shared" si="2"/>
        <v>#VALUE!</v>
      </c>
      <c r="Z15" s="290">
        <f t="shared" si="2"/>
        <v>1794907.4833557135</v>
      </c>
      <c r="AA15" s="290" t="e">
        <f t="shared" si="2"/>
        <v>#VALUE!</v>
      </c>
      <c r="AB15" s="290">
        <f t="shared" si="2"/>
        <v>0</v>
      </c>
      <c r="AC15" s="290"/>
      <c r="AD15" s="290">
        <f t="shared" si="2"/>
        <v>1794907.4833557135</v>
      </c>
      <c r="AE15" s="290"/>
      <c r="AF15" s="290">
        <f t="shared" si="2"/>
        <v>0</v>
      </c>
      <c r="AG15" s="290"/>
      <c r="AH15" s="290">
        <f t="shared" si="2"/>
        <v>1794907.4833557135</v>
      </c>
      <c r="AI15" s="290">
        <f t="shared" si="2"/>
        <v>0</v>
      </c>
      <c r="AJ15" s="290">
        <f t="shared" si="2"/>
        <v>0</v>
      </c>
      <c r="AK15" s="290"/>
      <c r="AL15" s="290">
        <f t="shared" si="2"/>
        <v>1794907.4833557135</v>
      </c>
      <c r="AM15" s="290"/>
      <c r="AN15" s="290">
        <f t="shared" si="2"/>
        <v>0</v>
      </c>
      <c r="AO15" s="290"/>
      <c r="AP15" s="290">
        <f t="shared" si="2"/>
        <v>1794907.4833557135</v>
      </c>
      <c r="AQ15" s="290"/>
      <c r="AR15" s="290">
        <f t="shared" si="2"/>
        <v>0</v>
      </c>
      <c r="AS15" s="290"/>
      <c r="AT15" s="290">
        <f t="shared" si="2"/>
        <v>1794907.4833557135</v>
      </c>
      <c r="AU15" s="290">
        <f t="shared" si="2"/>
        <v>0</v>
      </c>
      <c r="AV15" s="290">
        <f t="shared" si="2"/>
        <v>1794907.4833557135</v>
      </c>
      <c r="AW15" s="290" t="e">
        <f t="shared" si="2"/>
        <v>#VALUE!</v>
      </c>
      <c r="AX15" s="290">
        <f t="shared" si="2"/>
        <v>0</v>
      </c>
      <c r="AY15" s="290">
        <f t="shared" si="2"/>
        <v>0</v>
      </c>
      <c r="AZ15" s="290">
        <f t="shared" si="2"/>
        <v>0</v>
      </c>
      <c r="BA15" s="290">
        <f t="shared" si="2"/>
        <v>0</v>
      </c>
      <c r="BB15" s="290">
        <f t="shared" si="2"/>
        <v>0</v>
      </c>
      <c r="BC15" s="290">
        <f t="shared" si="2"/>
        <v>0</v>
      </c>
      <c r="BD15" s="290">
        <f t="shared" si="2"/>
        <v>0</v>
      </c>
      <c r="BE15" s="290">
        <f t="shared" si="2"/>
        <v>0</v>
      </c>
      <c r="BF15" s="290">
        <f t="shared" si="2"/>
        <v>0</v>
      </c>
      <c r="BG15" s="290">
        <f t="shared" si="2"/>
        <v>0</v>
      </c>
      <c r="BH15" s="290">
        <f t="shared" si="2"/>
        <v>0</v>
      </c>
      <c r="BI15" s="290">
        <f t="shared" si="2"/>
        <v>0</v>
      </c>
      <c r="BJ15" s="290">
        <f t="shared" si="2"/>
        <v>0</v>
      </c>
      <c r="BK15" s="290">
        <f t="shared" si="2"/>
        <v>0</v>
      </c>
      <c r="BL15" s="290">
        <f t="shared" si="2"/>
        <v>0</v>
      </c>
      <c r="BM15" s="290">
        <f t="shared" si="2"/>
        <v>0</v>
      </c>
      <c r="BN15" s="290">
        <f t="shared" si="2"/>
        <v>0</v>
      </c>
      <c r="BO15" s="290">
        <f t="shared" ref="BO15:DZ15" si="3">+BO9-BO11+BO12</f>
        <v>0</v>
      </c>
      <c r="BP15" s="290">
        <f t="shared" si="3"/>
        <v>0</v>
      </c>
      <c r="BQ15" s="290">
        <f t="shared" si="3"/>
        <v>0</v>
      </c>
      <c r="BR15" s="290">
        <f t="shared" si="3"/>
        <v>0</v>
      </c>
      <c r="BS15" s="290">
        <f t="shared" si="3"/>
        <v>0</v>
      </c>
      <c r="BT15" s="290">
        <f t="shared" si="3"/>
        <v>0</v>
      </c>
      <c r="BU15" s="290">
        <f t="shared" si="3"/>
        <v>0</v>
      </c>
      <c r="BV15" s="290">
        <f t="shared" si="3"/>
        <v>0</v>
      </c>
      <c r="BW15" s="290">
        <f t="shared" si="3"/>
        <v>0</v>
      </c>
      <c r="BX15" s="290">
        <f t="shared" si="3"/>
        <v>0</v>
      </c>
      <c r="BY15" s="290">
        <f t="shared" si="3"/>
        <v>0</v>
      </c>
      <c r="BZ15" s="290">
        <f t="shared" si="3"/>
        <v>0</v>
      </c>
      <c r="CA15" s="290">
        <f t="shared" si="3"/>
        <v>0</v>
      </c>
      <c r="CB15" s="290">
        <f t="shared" si="3"/>
        <v>0</v>
      </c>
      <c r="CC15" s="290">
        <f t="shared" si="3"/>
        <v>0</v>
      </c>
      <c r="CD15" s="290">
        <f t="shared" si="3"/>
        <v>0</v>
      </c>
      <c r="CE15" s="290">
        <f t="shared" si="3"/>
        <v>0</v>
      </c>
      <c r="CF15" s="290">
        <f t="shared" si="3"/>
        <v>0</v>
      </c>
      <c r="CG15" s="290">
        <f t="shared" si="3"/>
        <v>0</v>
      </c>
      <c r="CH15" s="290">
        <f t="shared" si="3"/>
        <v>0</v>
      </c>
      <c r="CI15" s="290">
        <f t="shared" si="3"/>
        <v>0</v>
      </c>
      <c r="CJ15" s="290">
        <f t="shared" si="3"/>
        <v>0</v>
      </c>
      <c r="CK15" s="290">
        <f t="shared" si="3"/>
        <v>0</v>
      </c>
      <c r="CL15" s="290">
        <f t="shared" si="3"/>
        <v>0</v>
      </c>
      <c r="CM15" s="290">
        <f t="shared" si="3"/>
        <v>0</v>
      </c>
      <c r="CN15" s="290">
        <f t="shared" si="3"/>
        <v>0</v>
      </c>
      <c r="CO15" s="290">
        <f t="shared" si="3"/>
        <v>0</v>
      </c>
      <c r="CP15" s="290">
        <f t="shared" si="3"/>
        <v>0</v>
      </c>
      <c r="CQ15" s="290">
        <f t="shared" si="3"/>
        <v>0</v>
      </c>
      <c r="CR15" s="290">
        <f t="shared" si="3"/>
        <v>0</v>
      </c>
      <c r="CS15" s="290">
        <f t="shared" si="3"/>
        <v>0</v>
      </c>
      <c r="CT15" s="290">
        <f t="shared" si="3"/>
        <v>0</v>
      </c>
      <c r="CU15" s="290">
        <f t="shared" si="3"/>
        <v>0</v>
      </c>
      <c r="CV15" s="290">
        <f t="shared" si="3"/>
        <v>0</v>
      </c>
      <c r="CW15" s="290">
        <f t="shared" si="3"/>
        <v>0</v>
      </c>
      <c r="CX15" s="290">
        <f t="shared" si="3"/>
        <v>0</v>
      </c>
      <c r="CY15" s="290">
        <f t="shared" si="3"/>
        <v>0</v>
      </c>
      <c r="CZ15" s="290">
        <f t="shared" si="3"/>
        <v>0</v>
      </c>
      <c r="DA15" s="290">
        <f t="shared" si="3"/>
        <v>0</v>
      </c>
      <c r="DB15" s="290">
        <f t="shared" si="3"/>
        <v>0</v>
      </c>
      <c r="DC15" s="290">
        <f t="shared" si="3"/>
        <v>0</v>
      </c>
      <c r="DD15" s="290">
        <f t="shared" si="3"/>
        <v>0</v>
      </c>
      <c r="DE15" s="290">
        <f t="shared" si="3"/>
        <v>0</v>
      </c>
      <c r="DF15" s="290">
        <f t="shared" si="3"/>
        <v>0</v>
      </c>
      <c r="DG15" s="290">
        <f t="shared" si="3"/>
        <v>0</v>
      </c>
      <c r="DH15" s="290">
        <f t="shared" si="3"/>
        <v>0</v>
      </c>
      <c r="DI15" s="290">
        <f t="shared" si="3"/>
        <v>0</v>
      </c>
      <c r="DJ15" s="290">
        <f t="shared" si="3"/>
        <v>0</v>
      </c>
      <c r="DK15" s="290">
        <f t="shared" si="3"/>
        <v>0</v>
      </c>
      <c r="DL15" s="290">
        <f t="shared" si="3"/>
        <v>0</v>
      </c>
      <c r="DM15" s="290">
        <f t="shared" si="3"/>
        <v>0</v>
      </c>
      <c r="DN15" s="290">
        <f t="shared" si="3"/>
        <v>0</v>
      </c>
      <c r="DO15" s="290">
        <f t="shared" si="3"/>
        <v>0</v>
      </c>
      <c r="DP15" s="290">
        <f t="shared" si="3"/>
        <v>0</v>
      </c>
      <c r="DQ15" s="290">
        <f t="shared" si="3"/>
        <v>0</v>
      </c>
      <c r="DR15" s="290">
        <f t="shared" si="3"/>
        <v>0</v>
      </c>
      <c r="DS15" s="290">
        <f t="shared" si="3"/>
        <v>0</v>
      </c>
      <c r="DT15" s="290">
        <f t="shared" si="3"/>
        <v>0</v>
      </c>
      <c r="DU15" s="290">
        <f t="shared" si="3"/>
        <v>0</v>
      </c>
      <c r="DV15" s="290">
        <f t="shared" si="3"/>
        <v>0</v>
      </c>
      <c r="DW15" s="290">
        <f t="shared" si="3"/>
        <v>0</v>
      </c>
      <c r="DX15" s="290">
        <f t="shared" si="3"/>
        <v>0</v>
      </c>
      <c r="DY15" s="290">
        <f t="shared" si="3"/>
        <v>0</v>
      </c>
      <c r="DZ15" s="290">
        <f t="shared" si="3"/>
        <v>0</v>
      </c>
      <c r="EA15" s="290">
        <f t="shared" ref="EA15:GL15" si="4">+EA9-EA11+EA12</f>
        <v>0</v>
      </c>
      <c r="EB15" s="290">
        <f t="shared" si="4"/>
        <v>0</v>
      </c>
      <c r="EC15" s="290">
        <f t="shared" si="4"/>
        <v>0</v>
      </c>
      <c r="ED15" s="290">
        <f t="shared" si="4"/>
        <v>0</v>
      </c>
      <c r="EE15" s="290">
        <f t="shared" si="4"/>
        <v>0</v>
      </c>
      <c r="EF15" s="290">
        <f t="shared" si="4"/>
        <v>0</v>
      </c>
      <c r="EG15" s="290">
        <f t="shared" si="4"/>
        <v>0</v>
      </c>
      <c r="EH15" s="290">
        <f t="shared" si="4"/>
        <v>0</v>
      </c>
      <c r="EI15" s="290">
        <f t="shared" si="4"/>
        <v>0</v>
      </c>
      <c r="EJ15" s="290">
        <f t="shared" si="4"/>
        <v>0</v>
      </c>
      <c r="EK15" s="290">
        <f t="shared" si="4"/>
        <v>0</v>
      </c>
      <c r="EL15" s="290">
        <f t="shared" si="4"/>
        <v>0</v>
      </c>
      <c r="EM15" s="290">
        <f t="shared" si="4"/>
        <v>0</v>
      </c>
      <c r="EN15" s="290">
        <f t="shared" si="4"/>
        <v>0</v>
      </c>
      <c r="EO15" s="290">
        <f t="shared" si="4"/>
        <v>0</v>
      </c>
      <c r="EP15" s="290">
        <f t="shared" si="4"/>
        <v>0</v>
      </c>
      <c r="EQ15" s="290">
        <f t="shared" si="4"/>
        <v>0</v>
      </c>
      <c r="ER15" s="290">
        <f t="shared" si="4"/>
        <v>0</v>
      </c>
      <c r="ES15" s="290">
        <f t="shared" si="4"/>
        <v>0</v>
      </c>
      <c r="ET15" s="290">
        <f t="shared" si="4"/>
        <v>0</v>
      </c>
      <c r="EU15" s="290">
        <f t="shared" si="4"/>
        <v>0</v>
      </c>
      <c r="EV15" s="290">
        <f t="shared" si="4"/>
        <v>0</v>
      </c>
      <c r="EW15" s="290">
        <f t="shared" si="4"/>
        <v>0</v>
      </c>
      <c r="EX15" s="290">
        <f t="shared" si="4"/>
        <v>0</v>
      </c>
      <c r="EY15" s="290">
        <f t="shared" si="4"/>
        <v>0</v>
      </c>
      <c r="EZ15" s="290">
        <f t="shared" si="4"/>
        <v>0</v>
      </c>
      <c r="FA15" s="290">
        <f t="shared" si="4"/>
        <v>0</v>
      </c>
      <c r="FB15" s="290">
        <f t="shared" si="4"/>
        <v>0</v>
      </c>
      <c r="FC15" s="290">
        <f t="shared" si="4"/>
        <v>0</v>
      </c>
      <c r="FD15" s="290">
        <f t="shared" si="4"/>
        <v>0</v>
      </c>
      <c r="FE15" s="290">
        <f t="shared" si="4"/>
        <v>0</v>
      </c>
      <c r="FF15" s="290">
        <f t="shared" si="4"/>
        <v>0</v>
      </c>
      <c r="FG15" s="290">
        <f t="shared" si="4"/>
        <v>0</v>
      </c>
      <c r="FH15" s="290">
        <f t="shared" si="4"/>
        <v>0</v>
      </c>
      <c r="FI15" s="290">
        <f t="shared" si="4"/>
        <v>0</v>
      </c>
      <c r="FJ15" s="290">
        <f t="shared" si="4"/>
        <v>0</v>
      </c>
      <c r="FK15" s="290">
        <f t="shared" si="4"/>
        <v>0</v>
      </c>
      <c r="FL15" s="290">
        <f t="shared" si="4"/>
        <v>0</v>
      </c>
      <c r="FM15" s="290">
        <f t="shared" si="4"/>
        <v>0</v>
      </c>
      <c r="FN15" s="290">
        <f t="shared" si="4"/>
        <v>0</v>
      </c>
      <c r="FO15" s="290">
        <f t="shared" si="4"/>
        <v>0</v>
      </c>
      <c r="FP15" s="290">
        <f t="shared" si="4"/>
        <v>0</v>
      </c>
      <c r="FQ15" s="290">
        <f t="shared" si="4"/>
        <v>0</v>
      </c>
      <c r="FR15" s="290">
        <f t="shared" si="4"/>
        <v>0</v>
      </c>
      <c r="FS15" s="290">
        <f t="shared" si="4"/>
        <v>0</v>
      </c>
      <c r="FT15" s="290">
        <f t="shared" si="4"/>
        <v>0</v>
      </c>
      <c r="FU15" s="290">
        <f t="shared" si="4"/>
        <v>0</v>
      </c>
      <c r="FV15" s="290">
        <f t="shared" si="4"/>
        <v>0</v>
      </c>
      <c r="FW15" s="290">
        <f t="shared" si="4"/>
        <v>0</v>
      </c>
      <c r="FX15" s="290">
        <f t="shared" si="4"/>
        <v>0</v>
      </c>
      <c r="FY15" s="290">
        <f t="shared" si="4"/>
        <v>0</v>
      </c>
      <c r="FZ15" s="290">
        <f t="shared" si="4"/>
        <v>0</v>
      </c>
      <c r="GA15" s="290">
        <f t="shared" si="4"/>
        <v>0</v>
      </c>
      <c r="GB15" s="290">
        <f t="shared" si="4"/>
        <v>0</v>
      </c>
      <c r="GC15" s="290">
        <f t="shared" si="4"/>
        <v>0</v>
      </c>
      <c r="GD15" s="290">
        <f t="shared" si="4"/>
        <v>0</v>
      </c>
      <c r="GE15" s="290">
        <f t="shared" si="4"/>
        <v>0</v>
      </c>
      <c r="GF15" s="290">
        <f t="shared" si="4"/>
        <v>0</v>
      </c>
      <c r="GG15" s="290">
        <f t="shared" si="4"/>
        <v>0</v>
      </c>
      <c r="GH15" s="290">
        <f t="shared" si="4"/>
        <v>0</v>
      </c>
      <c r="GI15" s="290">
        <f t="shared" si="4"/>
        <v>0</v>
      </c>
      <c r="GJ15" s="290">
        <f t="shared" si="4"/>
        <v>0</v>
      </c>
      <c r="GK15" s="290">
        <f t="shared" si="4"/>
        <v>0</v>
      </c>
      <c r="GL15" s="290">
        <f t="shared" si="4"/>
        <v>0</v>
      </c>
      <c r="GM15" s="290">
        <f t="shared" ref="GM15:IT15" si="5">+GM9-GM11+GM12</f>
        <v>0</v>
      </c>
      <c r="GN15" s="290">
        <f t="shared" si="5"/>
        <v>0</v>
      </c>
      <c r="GO15" s="290">
        <f t="shared" si="5"/>
        <v>0</v>
      </c>
      <c r="GP15" s="290">
        <f t="shared" si="5"/>
        <v>0</v>
      </c>
      <c r="GQ15" s="290">
        <f t="shared" si="5"/>
        <v>0</v>
      </c>
      <c r="GR15" s="290">
        <f t="shared" si="5"/>
        <v>0</v>
      </c>
      <c r="GS15" s="290">
        <f t="shared" si="5"/>
        <v>0</v>
      </c>
      <c r="GT15" s="290">
        <f t="shared" si="5"/>
        <v>0</v>
      </c>
      <c r="GU15" s="290">
        <f t="shared" si="5"/>
        <v>0</v>
      </c>
      <c r="GV15" s="290">
        <f t="shared" si="5"/>
        <v>0</v>
      </c>
      <c r="GW15" s="290">
        <f t="shared" si="5"/>
        <v>0</v>
      </c>
      <c r="GX15" s="290">
        <f t="shared" si="5"/>
        <v>0</v>
      </c>
      <c r="GY15" s="290">
        <f t="shared" si="5"/>
        <v>0</v>
      </c>
      <c r="GZ15" s="290">
        <f t="shared" si="5"/>
        <v>0</v>
      </c>
      <c r="HA15" s="290">
        <f t="shared" si="5"/>
        <v>0</v>
      </c>
      <c r="HB15" s="290">
        <f t="shared" si="5"/>
        <v>0</v>
      </c>
      <c r="HC15" s="290">
        <f t="shared" si="5"/>
        <v>0</v>
      </c>
      <c r="HD15" s="290">
        <f t="shared" si="5"/>
        <v>0</v>
      </c>
      <c r="HE15" s="290">
        <f t="shared" si="5"/>
        <v>0</v>
      </c>
      <c r="HF15" s="290">
        <f t="shared" si="5"/>
        <v>0</v>
      </c>
      <c r="HG15" s="290">
        <f t="shared" si="5"/>
        <v>0</v>
      </c>
      <c r="HH15" s="290">
        <f t="shared" si="5"/>
        <v>0</v>
      </c>
      <c r="HI15" s="290">
        <f t="shared" si="5"/>
        <v>0</v>
      </c>
      <c r="HJ15" s="290">
        <f t="shared" si="5"/>
        <v>0</v>
      </c>
      <c r="HK15" s="290">
        <f t="shared" si="5"/>
        <v>0</v>
      </c>
      <c r="HL15" s="290">
        <f t="shared" si="5"/>
        <v>0</v>
      </c>
      <c r="HM15" s="290">
        <f t="shared" si="5"/>
        <v>0</v>
      </c>
      <c r="HN15" s="290">
        <f t="shared" si="5"/>
        <v>0</v>
      </c>
      <c r="HO15" s="290">
        <f t="shared" si="5"/>
        <v>0</v>
      </c>
      <c r="HP15" s="290">
        <f t="shared" si="5"/>
        <v>0</v>
      </c>
      <c r="HQ15" s="290">
        <f t="shared" si="5"/>
        <v>0</v>
      </c>
      <c r="HR15" s="290">
        <f t="shared" si="5"/>
        <v>0</v>
      </c>
      <c r="HS15" s="290">
        <f t="shared" si="5"/>
        <v>0</v>
      </c>
      <c r="HT15" s="290">
        <f t="shared" si="5"/>
        <v>0</v>
      </c>
      <c r="HU15" s="290">
        <f t="shared" si="5"/>
        <v>0</v>
      </c>
      <c r="HV15" s="290">
        <f t="shared" si="5"/>
        <v>0</v>
      </c>
      <c r="HW15" s="290">
        <f t="shared" si="5"/>
        <v>0</v>
      </c>
      <c r="HX15" s="290">
        <f t="shared" si="5"/>
        <v>0</v>
      </c>
      <c r="HY15" s="290">
        <f t="shared" si="5"/>
        <v>0</v>
      </c>
      <c r="HZ15" s="290">
        <f t="shared" si="5"/>
        <v>0</v>
      </c>
      <c r="IA15" s="290">
        <f t="shared" si="5"/>
        <v>0</v>
      </c>
      <c r="IB15" s="290">
        <f t="shared" si="5"/>
        <v>0</v>
      </c>
      <c r="IC15" s="290">
        <f t="shared" si="5"/>
        <v>0</v>
      </c>
      <c r="ID15" s="290">
        <f t="shared" si="5"/>
        <v>0</v>
      </c>
      <c r="IE15" s="290">
        <f t="shared" si="5"/>
        <v>0</v>
      </c>
      <c r="IF15" s="290">
        <f t="shared" si="5"/>
        <v>0</v>
      </c>
      <c r="IG15" s="290">
        <f t="shared" si="5"/>
        <v>0</v>
      </c>
      <c r="IH15" s="290">
        <f t="shared" si="5"/>
        <v>0</v>
      </c>
      <c r="II15" s="290">
        <f t="shared" si="5"/>
        <v>0</v>
      </c>
      <c r="IJ15" s="290">
        <f t="shared" si="5"/>
        <v>0</v>
      </c>
      <c r="IK15" s="290">
        <f t="shared" si="5"/>
        <v>0</v>
      </c>
      <c r="IL15" s="290">
        <f t="shared" si="5"/>
        <v>0</v>
      </c>
      <c r="IM15" s="290">
        <f t="shared" si="5"/>
        <v>0</v>
      </c>
      <c r="IN15" s="290">
        <f t="shared" si="5"/>
        <v>0</v>
      </c>
      <c r="IO15" s="290">
        <f t="shared" si="5"/>
        <v>0</v>
      </c>
      <c r="IP15" s="290">
        <f t="shared" si="5"/>
        <v>0</v>
      </c>
      <c r="IQ15" s="290">
        <f t="shared" si="5"/>
        <v>0</v>
      </c>
      <c r="IR15" s="290">
        <f t="shared" si="5"/>
        <v>0</v>
      </c>
      <c r="IS15" s="290">
        <f t="shared" si="5"/>
        <v>0</v>
      </c>
      <c r="IT15" s="290">
        <f t="shared" si="5"/>
        <v>0</v>
      </c>
    </row>
    <row r="16" spans="1:254" s="141" customFormat="1" ht="13.5" customHeight="1">
      <c r="A16" s="291"/>
      <c r="B16" s="292"/>
      <c r="C16" s="293"/>
      <c r="D16" s="293">
        <f>D13/D9</f>
        <v>0.31547986188942606</v>
      </c>
      <c r="E16" s="293"/>
      <c r="F16" s="293">
        <f>F13/F9</f>
        <v>0.31547986188942606</v>
      </c>
      <c r="G16" s="293"/>
      <c r="H16" s="293">
        <f>+H15/H9</f>
        <v>0.4693352790014742</v>
      </c>
      <c r="I16" s="293"/>
      <c r="J16" s="293"/>
      <c r="K16" s="293"/>
      <c r="L16" s="293">
        <f>+L15/L9</f>
        <v>0.59293565324045516</v>
      </c>
      <c r="M16" s="293"/>
      <c r="N16" s="293"/>
      <c r="O16" s="293"/>
      <c r="P16" s="293">
        <f>+P15/P9</f>
        <v>0.46993820144257742</v>
      </c>
      <c r="Q16" s="293"/>
      <c r="R16" s="293">
        <f>+R15/R9</f>
        <v>0.49862527172454268</v>
      </c>
      <c r="S16" s="293"/>
      <c r="T16" s="293">
        <f>+T15/T9</f>
        <v>0.49009464873449249</v>
      </c>
      <c r="U16" s="293"/>
      <c r="V16" s="293"/>
      <c r="W16" s="293"/>
      <c r="X16" s="293" t="e">
        <f>+X15/X9</f>
        <v>#DIV/0!</v>
      </c>
      <c r="Y16" s="293"/>
      <c r="Z16" s="293">
        <f>+Z15/Z9</f>
        <v>0.49747919420976067</v>
      </c>
      <c r="AA16" s="293"/>
      <c r="AB16" s="293" t="e">
        <f>+AB15/AB9</f>
        <v>#DIV/0!</v>
      </c>
      <c r="AC16" s="293"/>
      <c r="AD16" s="293">
        <f>+AD15/AD9</f>
        <v>0.49747919420976067</v>
      </c>
      <c r="AE16" s="206"/>
      <c r="AF16" s="293" t="e">
        <f>+AF15/AF9</f>
        <v>#DIV/0!</v>
      </c>
      <c r="AG16" s="293"/>
      <c r="AH16" s="293">
        <f>+AH15/AH9</f>
        <v>0.49747919420976067</v>
      </c>
      <c r="AI16" s="449"/>
      <c r="AJ16" s="293" t="e">
        <f>+AJ15/AJ9</f>
        <v>#DIV/0!</v>
      </c>
      <c r="AK16" s="293"/>
      <c r="AL16" s="293">
        <f>+AL15/AL9</f>
        <v>0.49747919420976067</v>
      </c>
      <c r="AM16" s="449"/>
      <c r="AN16" s="293" t="e">
        <f>+AN15/AN9</f>
        <v>#DIV/0!</v>
      </c>
      <c r="AO16" s="293"/>
      <c r="AP16" s="489">
        <f>+AP15/AP9</f>
        <v>0.49747919420976067</v>
      </c>
      <c r="AQ16" s="449"/>
      <c r="AR16" s="489" t="e">
        <f>+AR15/AR9</f>
        <v>#DIV/0!</v>
      </c>
      <c r="AS16" s="293"/>
      <c r="AT16" s="293"/>
      <c r="AV16" s="293"/>
      <c r="AW16" s="293"/>
    </row>
    <row r="17" spans="1:49">
      <c r="A17" s="294" t="s">
        <v>54</v>
      </c>
      <c r="B17" s="295"/>
      <c r="C17" s="297"/>
      <c r="D17" s="297"/>
      <c r="E17" s="296"/>
      <c r="F17" s="297"/>
      <c r="G17" s="297"/>
      <c r="H17" s="297"/>
      <c r="I17" s="296"/>
      <c r="J17" s="297"/>
      <c r="K17" s="297"/>
      <c r="L17" s="297"/>
      <c r="M17" s="296"/>
      <c r="N17" s="297"/>
      <c r="O17" s="297"/>
      <c r="P17" s="297"/>
      <c r="Q17" s="296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07"/>
      <c r="AF17" s="297"/>
      <c r="AG17" s="297"/>
      <c r="AH17" s="297"/>
      <c r="AI17" s="450"/>
      <c r="AJ17" s="297"/>
      <c r="AK17" s="297"/>
      <c r="AL17" s="297"/>
      <c r="AM17" s="450"/>
      <c r="AN17" s="297"/>
      <c r="AO17" s="297"/>
      <c r="AP17" s="297"/>
      <c r="AQ17" s="450"/>
      <c r="AR17" s="297"/>
      <c r="AS17" s="297"/>
      <c r="AT17" s="297"/>
      <c r="AV17" s="297"/>
      <c r="AW17" s="297"/>
    </row>
    <row r="18" spans="1:49">
      <c r="A18" s="130" t="s">
        <v>132</v>
      </c>
      <c r="B18" s="283"/>
      <c r="D18" s="135">
        <f>TB!G59</f>
        <v>122671.6</v>
      </c>
      <c r="E18" s="134"/>
      <c r="F18" s="282">
        <f>D18</f>
        <v>122671.6</v>
      </c>
      <c r="H18" s="135">
        <f>TB!M59</f>
        <v>149454.5</v>
      </c>
      <c r="I18" s="134"/>
      <c r="J18" s="135">
        <f>F18+H18</f>
        <v>272126.09999999998</v>
      </c>
      <c r="L18" s="135">
        <f>TB!S59</f>
        <v>145797.51999999999</v>
      </c>
      <c r="M18" s="134"/>
      <c r="N18" s="135">
        <f>J18+L18</f>
        <v>417923.62</v>
      </c>
      <c r="P18" s="135">
        <f>TB!Y59</f>
        <v>154218.60999999999</v>
      </c>
      <c r="Q18" s="134"/>
      <c r="R18" s="135">
        <f t="shared" ref="R18:R45" si="6">N18+P18</f>
        <v>572142.23</v>
      </c>
      <c r="T18" s="135">
        <f>TB!AE59</f>
        <v>167122.32999999999</v>
      </c>
      <c r="V18" s="135">
        <f t="shared" ref="V18:V39" si="7">R18+T18</f>
        <v>739264.55999999994</v>
      </c>
      <c r="X18" s="135">
        <f>TB!AQ59</f>
        <v>0</v>
      </c>
      <c r="Z18" s="135">
        <f t="shared" ref="Z18:Z39" si="8">V18+X18</f>
        <v>739264.55999999994</v>
      </c>
      <c r="AB18" s="135">
        <f>TB!AW59</f>
        <v>0</v>
      </c>
      <c r="AD18" s="135">
        <f t="shared" ref="AD18:AD39" si="9">Z18+AB18</f>
        <v>739264.55999999994</v>
      </c>
      <c r="AE18" s="203"/>
      <c r="AF18" s="135">
        <f>TB!BC59</f>
        <v>0</v>
      </c>
      <c r="AH18" s="135">
        <f t="shared" ref="AH18:AH39" si="10">AD18+AF18</f>
        <v>739264.55999999994</v>
      </c>
      <c r="AJ18" s="135">
        <f>TB!BI59</f>
        <v>0</v>
      </c>
      <c r="AL18" s="135">
        <f t="shared" ref="AL18:AL39" si="11">AH18+AJ18</f>
        <v>739264.55999999994</v>
      </c>
      <c r="AN18" s="135">
        <f>TB!BO59</f>
        <v>0</v>
      </c>
      <c r="AP18" s="135">
        <f t="shared" ref="AP18:AP39" si="12">AL18+AN18</f>
        <v>739264.55999999994</v>
      </c>
      <c r="AR18" s="135">
        <f>TB!BU59</f>
        <v>0</v>
      </c>
      <c r="AS18" s="135"/>
      <c r="AT18" s="135">
        <f t="shared" ref="AT18:AW39" si="13">AP18+AR18</f>
        <v>739264.55999999994</v>
      </c>
      <c r="AU18" s="142" t="e">
        <f>+AT18-#REF!</f>
        <v>#REF!</v>
      </c>
      <c r="AV18" s="135">
        <f t="shared" si="13"/>
        <v>739264.55999999994</v>
      </c>
      <c r="AW18" s="135" t="e">
        <f t="shared" si="13"/>
        <v>#REF!</v>
      </c>
    </row>
    <row r="19" spans="1:49">
      <c r="A19" s="130" t="s">
        <v>135</v>
      </c>
      <c r="B19" s="283"/>
      <c r="D19" s="135">
        <f>TB!G65</f>
        <v>113677.48</v>
      </c>
      <c r="E19" s="134"/>
      <c r="F19" s="282">
        <f t="shared" ref="F19:F27" si="14">D19</f>
        <v>113677.48</v>
      </c>
      <c r="H19" s="135">
        <f>TB!M65</f>
        <v>51671.64</v>
      </c>
      <c r="I19" s="134"/>
      <c r="J19" s="135">
        <f t="shared" ref="J19:J45" si="15">F19+H19</f>
        <v>165349.12</v>
      </c>
      <c r="L19" s="135">
        <f>TB!S65</f>
        <v>51671.64</v>
      </c>
      <c r="M19" s="134"/>
      <c r="N19" s="135">
        <f t="shared" ref="N19:N45" si="16">J19+L19</f>
        <v>217020.76</v>
      </c>
      <c r="P19" s="135">
        <f>TB!Y65</f>
        <v>51671.64</v>
      </c>
      <c r="Q19" s="134"/>
      <c r="R19" s="135">
        <f t="shared" si="6"/>
        <v>268692.40000000002</v>
      </c>
      <c r="T19" s="135">
        <f>TB!AE65</f>
        <v>56838.74</v>
      </c>
      <c r="V19" s="135">
        <f t="shared" si="7"/>
        <v>325531.14</v>
      </c>
      <c r="X19" s="135">
        <f>TB!AQ65</f>
        <v>0</v>
      </c>
      <c r="Z19" s="135">
        <f t="shared" si="8"/>
        <v>325531.14</v>
      </c>
      <c r="AB19" s="135">
        <f>TB!AW65</f>
        <v>0</v>
      </c>
      <c r="AD19" s="135">
        <f t="shared" si="9"/>
        <v>325531.14</v>
      </c>
      <c r="AE19" s="203"/>
      <c r="AF19" s="135">
        <f>TB!BC65</f>
        <v>0</v>
      </c>
      <c r="AH19" s="135">
        <f t="shared" si="10"/>
        <v>325531.14</v>
      </c>
      <c r="AJ19" s="135">
        <f>TB!BI65</f>
        <v>0</v>
      </c>
      <c r="AL19" s="135">
        <f t="shared" si="11"/>
        <v>325531.14</v>
      </c>
      <c r="AN19" s="135">
        <f>TB!BO65</f>
        <v>0</v>
      </c>
      <c r="AP19" s="135">
        <f t="shared" si="12"/>
        <v>325531.14</v>
      </c>
      <c r="AR19" s="135">
        <f>TB!BU65</f>
        <v>0</v>
      </c>
      <c r="AS19" s="135"/>
      <c r="AT19" s="135">
        <f t="shared" si="13"/>
        <v>325531.14</v>
      </c>
      <c r="AU19" s="142" t="e">
        <f>+AT19-#REF!</f>
        <v>#REF!</v>
      </c>
      <c r="AV19" s="135">
        <f t="shared" si="13"/>
        <v>325531.14</v>
      </c>
      <c r="AW19" s="135" t="e">
        <f t="shared" si="13"/>
        <v>#REF!</v>
      </c>
    </row>
    <row r="20" spans="1:49">
      <c r="A20" s="130" t="s">
        <v>137</v>
      </c>
      <c r="B20" s="283"/>
      <c r="D20" s="135">
        <f>TB!G68</f>
        <v>14651.18938690476</v>
      </c>
      <c r="E20" s="134"/>
      <c r="F20" s="282">
        <f t="shared" si="14"/>
        <v>14651.18938690476</v>
      </c>
      <c r="H20" s="135">
        <f>TB!M68</f>
        <v>23398.375505952383</v>
      </c>
      <c r="I20" s="134"/>
      <c r="J20" s="135">
        <f t="shared" si="15"/>
        <v>38049.564892857146</v>
      </c>
      <c r="L20" s="135">
        <f>TB!S68</f>
        <v>23398.375505952383</v>
      </c>
      <c r="M20" s="134"/>
      <c r="N20" s="135">
        <f t="shared" si="16"/>
        <v>61447.940398809529</v>
      </c>
      <c r="P20" s="135">
        <f>TB!Y68</f>
        <v>23398.375505952383</v>
      </c>
      <c r="Q20" s="134"/>
      <c r="R20" s="135">
        <f t="shared" si="6"/>
        <v>84846.315904761912</v>
      </c>
      <c r="T20" s="135">
        <f>TB!AE68</f>
        <v>23398.365505952381</v>
      </c>
      <c r="V20" s="135">
        <f t="shared" si="7"/>
        <v>108244.68141071429</v>
      </c>
      <c r="X20" s="135">
        <f>TB!AQ68</f>
        <v>0</v>
      </c>
      <c r="Z20" s="135">
        <f t="shared" si="8"/>
        <v>108244.68141071429</v>
      </c>
      <c r="AB20" s="135">
        <f>TB!AW68</f>
        <v>0</v>
      </c>
      <c r="AD20" s="135">
        <f t="shared" si="9"/>
        <v>108244.68141071429</v>
      </c>
      <c r="AE20" s="203"/>
      <c r="AF20" s="135">
        <f>TB!BC68</f>
        <v>0</v>
      </c>
      <c r="AH20" s="135">
        <f t="shared" si="10"/>
        <v>108244.68141071429</v>
      </c>
      <c r="AJ20" s="135">
        <f>TB!BI68</f>
        <v>0</v>
      </c>
      <c r="AL20" s="135">
        <f t="shared" si="11"/>
        <v>108244.68141071429</v>
      </c>
      <c r="AN20" s="135">
        <f>TB!BO68</f>
        <v>0</v>
      </c>
      <c r="AP20" s="135">
        <f t="shared" si="12"/>
        <v>108244.68141071429</v>
      </c>
      <c r="AR20" s="135">
        <f>TB!BU68</f>
        <v>0</v>
      </c>
      <c r="AS20" s="135"/>
      <c r="AT20" s="135">
        <f t="shared" si="13"/>
        <v>108244.68141071429</v>
      </c>
      <c r="AU20" s="142"/>
      <c r="AV20" s="135">
        <f t="shared" si="13"/>
        <v>108244.68141071429</v>
      </c>
      <c r="AW20" s="135">
        <f t="shared" si="13"/>
        <v>0</v>
      </c>
    </row>
    <row r="21" spans="1:49">
      <c r="A21" s="130" t="s">
        <v>142</v>
      </c>
      <c r="B21" s="283"/>
      <c r="D21" s="135">
        <f>TB!G72</f>
        <v>19500</v>
      </c>
      <c r="E21" s="134"/>
      <c r="F21" s="282">
        <f t="shared" si="14"/>
        <v>19500</v>
      </c>
      <c r="H21" s="135">
        <f>TB!M72</f>
        <v>19500</v>
      </c>
      <c r="I21" s="134"/>
      <c r="J21" s="135">
        <f t="shared" si="15"/>
        <v>39000</v>
      </c>
      <c r="L21" s="135">
        <f>TB!S72</f>
        <v>19500</v>
      </c>
      <c r="M21" s="134"/>
      <c r="N21" s="135">
        <f t="shared" si="16"/>
        <v>58500</v>
      </c>
      <c r="P21" s="135">
        <f>TB!Y72</f>
        <v>19500</v>
      </c>
      <c r="Q21" s="134"/>
      <c r="R21" s="135">
        <f t="shared" si="6"/>
        <v>78000</v>
      </c>
      <c r="T21" s="135">
        <f>TB!AE72</f>
        <v>19500</v>
      </c>
      <c r="V21" s="135">
        <f t="shared" si="7"/>
        <v>97500</v>
      </c>
      <c r="X21" s="135">
        <f>TB!AQ72</f>
        <v>0</v>
      </c>
      <c r="Z21" s="135">
        <f t="shared" si="8"/>
        <v>97500</v>
      </c>
      <c r="AB21" s="135">
        <f>TB!AW72</f>
        <v>0</v>
      </c>
      <c r="AD21" s="135">
        <f t="shared" si="9"/>
        <v>97500</v>
      </c>
      <c r="AE21" s="203"/>
      <c r="AF21" s="135">
        <f>TB!BC72</f>
        <v>0</v>
      </c>
      <c r="AH21" s="135">
        <f t="shared" si="10"/>
        <v>97500</v>
      </c>
      <c r="AJ21" s="135">
        <f>TB!BI72</f>
        <v>0</v>
      </c>
      <c r="AL21" s="135">
        <f t="shared" si="11"/>
        <v>97500</v>
      </c>
      <c r="AN21" s="135">
        <f>TB!BO72</f>
        <v>0</v>
      </c>
      <c r="AP21" s="135">
        <f t="shared" si="12"/>
        <v>97500</v>
      </c>
      <c r="AR21" s="135">
        <f>TB!BU72</f>
        <v>0</v>
      </c>
      <c r="AS21" s="135"/>
      <c r="AT21" s="135">
        <f t="shared" si="13"/>
        <v>97500</v>
      </c>
      <c r="AU21" s="142"/>
      <c r="AV21" s="135">
        <f t="shared" si="13"/>
        <v>97500</v>
      </c>
      <c r="AW21" s="135">
        <f t="shared" si="13"/>
        <v>0</v>
      </c>
    </row>
    <row r="22" spans="1:49">
      <c r="A22" s="130" t="s">
        <v>148</v>
      </c>
      <c r="B22" s="283"/>
      <c r="D22" s="135">
        <f>TB!G79</f>
        <v>16436.939999999999</v>
      </c>
      <c r="E22" s="134"/>
      <c r="F22" s="282">
        <f t="shared" si="14"/>
        <v>16436.939999999999</v>
      </c>
      <c r="H22" s="135">
        <f>TB!M79</f>
        <v>16566.73</v>
      </c>
      <c r="I22" s="134"/>
      <c r="J22" s="135">
        <f t="shared" si="15"/>
        <v>33003.67</v>
      </c>
      <c r="L22" s="135">
        <f>TB!S79</f>
        <v>16358.37</v>
      </c>
      <c r="M22" s="134"/>
      <c r="N22" s="135">
        <f t="shared" si="16"/>
        <v>49362.04</v>
      </c>
      <c r="P22" s="135">
        <f>TB!Y79</f>
        <v>16355.69</v>
      </c>
      <c r="Q22" s="134"/>
      <c r="R22" s="135">
        <f t="shared" si="6"/>
        <v>65717.73</v>
      </c>
      <c r="T22" s="135">
        <f>TB!AE79</f>
        <v>21873.48</v>
      </c>
      <c r="V22" s="135">
        <f t="shared" si="7"/>
        <v>87591.209999999992</v>
      </c>
      <c r="X22" s="135">
        <f>TB!AQ79</f>
        <v>0</v>
      </c>
      <c r="Z22" s="135">
        <f t="shared" si="8"/>
        <v>87591.209999999992</v>
      </c>
      <c r="AB22" s="135">
        <f>TB!AW79</f>
        <v>0</v>
      </c>
      <c r="AD22" s="135">
        <f t="shared" si="9"/>
        <v>87591.209999999992</v>
      </c>
      <c r="AE22" s="203"/>
      <c r="AF22" s="135">
        <f>TB!BC79</f>
        <v>0</v>
      </c>
      <c r="AH22" s="135">
        <f t="shared" si="10"/>
        <v>87591.209999999992</v>
      </c>
      <c r="AJ22" s="135">
        <f>TB!BI79</f>
        <v>0</v>
      </c>
      <c r="AL22" s="135">
        <f t="shared" si="11"/>
        <v>87591.209999999992</v>
      </c>
      <c r="AN22" s="135">
        <f>TB!BO79</f>
        <v>0</v>
      </c>
      <c r="AP22" s="135">
        <f t="shared" si="12"/>
        <v>87591.209999999992</v>
      </c>
      <c r="AR22" s="135">
        <f>TB!BU79</f>
        <v>0</v>
      </c>
      <c r="AS22" s="135"/>
      <c r="AT22" s="135">
        <f t="shared" si="13"/>
        <v>87591.209999999992</v>
      </c>
      <c r="AU22" s="142" t="e">
        <f>+AT22-#REF!</f>
        <v>#REF!</v>
      </c>
      <c r="AV22" s="135">
        <f t="shared" si="13"/>
        <v>87591.209999999992</v>
      </c>
      <c r="AW22" s="135" t="e">
        <f t="shared" si="13"/>
        <v>#REF!</v>
      </c>
    </row>
    <row r="23" spans="1:49">
      <c r="A23" s="130" t="s">
        <v>446</v>
      </c>
      <c r="B23" s="283"/>
      <c r="D23" s="135">
        <f>TB!G63</f>
        <v>16482.080000000002</v>
      </c>
      <c r="E23" s="134"/>
      <c r="F23" s="282">
        <f>D23</f>
        <v>16482.080000000002</v>
      </c>
      <c r="I23" s="134"/>
      <c r="M23" s="134"/>
      <c r="Q23" s="134"/>
      <c r="AE23" s="203"/>
      <c r="AF23" s="135"/>
      <c r="AJ23" s="135"/>
      <c r="AN23" s="135"/>
      <c r="AR23" s="135"/>
      <c r="AS23" s="135"/>
      <c r="AT23" s="135"/>
      <c r="AU23" s="142"/>
      <c r="AV23" s="135"/>
      <c r="AW23" s="135"/>
    </row>
    <row r="24" spans="1:49">
      <c r="A24" s="130" t="s">
        <v>255</v>
      </c>
      <c r="B24" s="283"/>
      <c r="D24" s="135">
        <f>TB!G62</f>
        <v>7673.96</v>
      </c>
      <c r="E24" s="134"/>
      <c r="F24" s="282">
        <f t="shared" si="14"/>
        <v>7673.96</v>
      </c>
      <c r="H24" s="135">
        <f>TB!M62</f>
        <v>0</v>
      </c>
      <c r="I24" s="134"/>
      <c r="J24" s="135">
        <f t="shared" si="15"/>
        <v>7673.96</v>
      </c>
      <c r="L24" s="135">
        <f>TB!S62</f>
        <v>0</v>
      </c>
      <c r="M24" s="134"/>
      <c r="N24" s="135">
        <f t="shared" si="16"/>
        <v>7673.96</v>
      </c>
      <c r="P24" s="135">
        <f>TB!Y62</f>
        <v>0</v>
      </c>
      <c r="Q24" s="134"/>
      <c r="R24" s="135">
        <f t="shared" si="6"/>
        <v>7673.96</v>
      </c>
      <c r="T24" s="135">
        <f>TB!AE62</f>
        <v>0</v>
      </c>
      <c r="V24" s="135">
        <f t="shared" si="7"/>
        <v>7673.96</v>
      </c>
      <c r="X24" s="135">
        <f>TB!AG62</f>
        <v>0</v>
      </c>
      <c r="Z24" s="135">
        <f t="shared" si="8"/>
        <v>7673.96</v>
      </c>
      <c r="AB24" s="135">
        <f>TB!AK62</f>
        <v>0</v>
      </c>
      <c r="AD24" s="135">
        <f t="shared" si="9"/>
        <v>7673.96</v>
      </c>
      <c r="AE24" s="203"/>
      <c r="AF24" s="135">
        <f>TB!AO62</f>
        <v>0</v>
      </c>
      <c r="AH24" s="135">
        <f t="shared" si="10"/>
        <v>7673.96</v>
      </c>
      <c r="AJ24" s="135">
        <f>TB!AS62</f>
        <v>0</v>
      </c>
      <c r="AL24" s="135">
        <f t="shared" si="11"/>
        <v>7673.96</v>
      </c>
      <c r="AN24" s="135">
        <f>TB!AW62</f>
        <v>0</v>
      </c>
      <c r="AP24" s="135">
        <f t="shared" si="12"/>
        <v>7673.96</v>
      </c>
      <c r="AR24" s="135">
        <f>TB!BU62</f>
        <v>0</v>
      </c>
      <c r="AS24" s="135"/>
      <c r="AT24" s="135">
        <f t="shared" si="13"/>
        <v>7673.96</v>
      </c>
      <c r="AU24" s="142"/>
      <c r="AV24" s="135">
        <f t="shared" si="13"/>
        <v>7673.96</v>
      </c>
      <c r="AW24" s="135">
        <f t="shared" si="13"/>
        <v>0</v>
      </c>
    </row>
    <row r="25" spans="1:49">
      <c r="A25" s="130" t="s">
        <v>150</v>
      </c>
      <c r="B25" s="283"/>
      <c r="D25" s="135">
        <f>TB!G81</f>
        <v>1819.64</v>
      </c>
      <c r="E25" s="134"/>
      <c r="F25" s="282">
        <f t="shared" si="14"/>
        <v>1819.64</v>
      </c>
      <c r="H25" s="135">
        <f>TB!M81</f>
        <v>0</v>
      </c>
      <c r="I25" s="134"/>
      <c r="J25" s="135">
        <f t="shared" si="15"/>
        <v>1819.64</v>
      </c>
      <c r="L25" s="135">
        <f>TB!S81</f>
        <v>2630.36</v>
      </c>
      <c r="M25" s="134"/>
      <c r="N25" s="135">
        <f t="shared" si="16"/>
        <v>4450</v>
      </c>
      <c r="P25" s="135">
        <f>TB!Y81</f>
        <v>2566.96</v>
      </c>
      <c r="Q25" s="134"/>
      <c r="R25" s="135">
        <f t="shared" si="6"/>
        <v>7016.96</v>
      </c>
      <c r="T25" s="135">
        <f>TB!AE81</f>
        <v>0</v>
      </c>
      <c r="V25" s="135">
        <f t="shared" si="7"/>
        <v>7016.96</v>
      </c>
      <c r="X25" s="135">
        <f>TB!AQ81</f>
        <v>0</v>
      </c>
      <c r="Z25" s="135">
        <f t="shared" si="8"/>
        <v>7016.96</v>
      </c>
      <c r="AB25" s="135">
        <f>TB!AW81</f>
        <v>0</v>
      </c>
      <c r="AD25" s="135">
        <f t="shared" si="9"/>
        <v>7016.96</v>
      </c>
      <c r="AE25" s="203"/>
      <c r="AF25" s="135">
        <f>TB!BC81</f>
        <v>0</v>
      </c>
      <c r="AH25" s="135">
        <f t="shared" si="10"/>
        <v>7016.96</v>
      </c>
      <c r="AJ25" s="135">
        <f>TB!BI81</f>
        <v>0</v>
      </c>
      <c r="AL25" s="135">
        <f t="shared" si="11"/>
        <v>7016.96</v>
      </c>
      <c r="AN25" s="135">
        <f>TB!BO81</f>
        <v>0</v>
      </c>
      <c r="AP25" s="135">
        <f t="shared" si="12"/>
        <v>7016.96</v>
      </c>
      <c r="AR25" s="135">
        <f>TB!BU81</f>
        <v>0</v>
      </c>
      <c r="AS25" s="135"/>
      <c r="AT25" s="135">
        <f t="shared" si="13"/>
        <v>7016.96</v>
      </c>
      <c r="AU25" s="142" t="e">
        <f>+AT25-#REF!</f>
        <v>#REF!</v>
      </c>
      <c r="AV25" s="135">
        <f t="shared" si="13"/>
        <v>7016.96</v>
      </c>
      <c r="AW25" s="135" t="e">
        <f t="shared" si="13"/>
        <v>#REF!</v>
      </c>
    </row>
    <row r="26" spans="1:49">
      <c r="A26" s="298" t="s">
        <v>144</v>
      </c>
      <c r="B26" s="283"/>
      <c r="D26" s="135">
        <f>TB!G75</f>
        <v>0</v>
      </c>
      <c r="E26" s="134"/>
      <c r="F26" s="282">
        <f t="shared" si="14"/>
        <v>0</v>
      </c>
      <c r="H26" s="135">
        <f>TB!M75</f>
        <v>0</v>
      </c>
      <c r="I26" s="134"/>
      <c r="J26" s="135">
        <f t="shared" si="15"/>
        <v>0</v>
      </c>
      <c r="L26" s="135">
        <f>TB!S75</f>
        <v>15786.1</v>
      </c>
      <c r="M26" s="134"/>
      <c r="N26" s="135">
        <f t="shared" si="16"/>
        <v>15786.1</v>
      </c>
      <c r="P26" s="135">
        <f>TB!Y75</f>
        <v>0</v>
      </c>
      <c r="Q26" s="134"/>
      <c r="R26" s="135">
        <f t="shared" si="6"/>
        <v>15786.1</v>
      </c>
      <c r="T26" s="135">
        <f>TB!AE75</f>
        <v>94716.6</v>
      </c>
      <c r="V26" s="135">
        <f t="shared" si="7"/>
        <v>110502.70000000001</v>
      </c>
      <c r="X26" s="135">
        <f>TB!AQ75</f>
        <v>0</v>
      </c>
      <c r="Z26" s="135">
        <f t="shared" si="8"/>
        <v>110502.70000000001</v>
      </c>
      <c r="AB26" s="135">
        <f>TB!AW75</f>
        <v>0</v>
      </c>
      <c r="AD26" s="135">
        <f t="shared" si="9"/>
        <v>110502.70000000001</v>
      </c>
      <c r="AE26" s="203"/>
      <c r="AF26" s="135">
        <f>TB!BC75</f>
        <v>0</v>
      </c>
      <c r="AH26" s="135">
        <f t="shared" si="10"/>
        <v>110502.70000000001</v>
      </c>
      <c r="AJ26" s="135">
        <f>TB!BI75</f>
        <v>0</v>
      </c>
      <c r="AL26" s="135">
        <f t="shared" si="11"/>
        <v>110502.70000000001</v>
      </c>
      <c r="AN26" s="135">
        <f>TB!BO75</f>
        <v>0</v>
      </c>
      <c r="AP26" s="135">
        <f t="shared" si="12"/>
        <v>110502.70000000001</v>
      </c>
      <c r="AR26" s="135">
        <f>TB!BU75</f>
        <v>0</v>
      </c>
      <c r="AS26" s="135"/>
      <c r="AT26" s="135">
        <f t="shared" si="13"/>
        <v>110502.70000000001</v>
      </c>
      <c r="AU26" s="142" t="e">
        <f>+AT26-#REF!</f>
        <v>#REF!</v>
      </c>
      <c r="AV26" s="135">
        <f t="shared" si="13"/>
        <v>110502.70000000001</v>
      </c>
      <c r="AW26" s="135" t="e">
        <f t="shared" si="13"/>
        <v>#REF!</v>
      </c>
    </row>
    <row r="27" spans="1:49">
      <c r="A27" s="130" t="s">
        <v>149</v>
      </c>
      <c r="B27" s="283"/>
      <c r="D27" s="135">
        <f>TB!G80</f>
        <v>11243.214285714284</v>
      </c>
      <c r="E27" s="134"/>
      <c r="F27" s="282">
        <f t="shared" si="14"/>
        <v>11243.214285714284</v>
      </c>
      <c r="H27" s="135">
        <f>TB!M80</f>
        <v>13174.21</v>
      </c>
      <c r="I27" s="134"/>
      <c r="J27" s="135">
        <f t="shared" si="15"/>
        <v>24417.424285714282</v>
      </c>
      <c r="L27" s="135">
        <f>TB!S80</f>
        <v>20478.54</v>
      </c>
      <c r="M27" s="134"/>
      <c r="N27" s="135">
        <f t="shared" si="16"/>
        <v>44895.964285714283</v>
      </c>
      <c r="P27" s="135">
        <f>TB!Y80</f>
        <v>9931.8214285714275</v>
      </c>
      <c r="Q27" s="134"/>
      <c r="R27" s="135">
        <f t="shared" si="6"/>
        <v>54827.78571428571</v>
      </c>
      <c r="T27" s="135">
        <f>TB!AE80</f>
        <v>14879.07</v>
      </c>
      <c r="V27" s="135">
        <f t="shared" si="7"/>
        <v>69706.855714285717</v>
      </c>
      <c r="X27" s="135">
        <f>TB!AQ80</f>
        <v>0</v>
      </c>
      <c r="Z27" s="135">
        <f t="shared" si="8"/>
        <v>69706.855714285717</v>
      </c>
      <c r="AB27" s="135">
        <f>TB!AW80</f>
        <v>0</v>
      </c>
      <c r="AD27" s="135">
        <f t="shared" si="9"/>
        <v>69706.855714285717</v>
      </c>
      <c r="AE27" s="203"/>
      <c r="AF27" s="135">
        <f>TB!BC80</f>
        <v>0</v>
      </c>
      <c r="AH27" s="135">
        <f t="shared" si="10"/>
        <v>69706.855714285717</v>
      </c>
      <c r="AJ27" s="135">
        <f>TB!BI80</f>
        <v>0</v>
      </c>
      <c r="AL27" s="135">
        <f t="shared" si="11"/>
        <v>69706.855714285717</v>
      </c>
      <c r="AN27" s="135">
        <f>TB!BO80</f>
        <v>0</v>
      </c>
      <c r="AP27" s="135">
        <f t="shared" si="12"/>
        <v>69706.855714285717</v>
      </c>
      <c r="AR27" s="135">
        <f>TB!BU80</f>
        <v>0</v>
      </c>
      <c r="AS27" s="135"/>
      <c r="AT27" s="135">
        <f t="shared" si="13"/>
        <v>69706.855714285717</v>
      </c>
      <c r="AU27" s="142" t="e">
        <f>+AT27-#REF!</f>
        <v>#REF!</v>
      </c>
      <c r="AV27" s="135">
        <f t="shared" si="13"/>
        <v>69706.855714285717</v>
      </c>
      <c r="AW27" s="135" t="e">
        <f t="shared" si="13"/>
        <v>#REF!</v>
      </c>
    </row>
    <row r="28" spans="1:49">
      <c r="A28" s="130" t="s">
        <v>134</v>
      </c>
      <c r="B28" s="283"/>
      <c r="D28" s="135">
        <f>TB!G64</f>
        <v>13358</v>
      </c>
      <c r="E28" s="134"/>
      <c r="F28" s="282">
        <f>D28</f>
        <v>13358</v>
      </c>
      <c r="H28" s="135">
        <f>TB!M64</f>
        <v>13420.1</v>
      </c>
      <c r="I28" s="134"/>
      <c r="J28" s="135">
        <f t="shared" si="15"/>
        <v>26778.1</v>
      </c>
      <c r="L28" s="135">
        <f>TB!S64</f>
        <v>13370.7</v>
      </c>
      <c r="M28" s="134"/>
      <c r="N28" s="135">
        <f t="shared" si="16"/>
        <v>40148.800000000003</v>
      </c>
      <c r="P28" s="135">
        <f>TB!Y64</f>
        <v>13026.1</v>
      </c>
      <c r="Q28" s="134"/>
      <c r="R28" s="135">
        <f t="shared" si="6"/>
        <v>53174.9</v>
      </c>
      <c r="T28" s="135">
        <f>TB!AE64</f>
        <v>13723.5</v>
      </c>
      <c r="V28" s="135">
        <f t="shared" si="7"/>
        <v>66898.399999999994</v>
      </c>
      <c r="X28" s="135">
        <f>TB!AQ64</f>
        <v>0</v>
      </c>
      <c r="Z28" s="135">
        <f t="shared" si="8"/>
        <v>66898.399999999994</v>
      </c>
      <c r="AB28" s="135">
        <f>TB!AW64</f>
        <v>0</v>
      </c>
      <c r="AD28" s="135">
        <f t="shared" si="9"/>
        <v>66898.399999999994</v>
      </c>
      <c r="AE28" s="203"/>
      <c r="AF28" s="135">
        <f>TB!BC64</f>
        <v>0</v>
      </c>
      <c r="AH28" s="135">
        <f t="shared" si="10"/>
        <v>66898.399999999994</v>
      </c>
      <c r="AJ28" s="135">
        <f>TB!BI64</f>
        <v>0</v>
      </c>
      <c r="AL28" s="135">
        <f t="shared" si="11"/>
        <v>66898.399999999994</v>
      </c>
      <c r="AN28" s="135">
        <f>TB!BO64</f>
        <v>0</v>
      </c>
      <c r="AP28" s="135">
        <f t="shared" si="12"/>
        <v>66898.399999999994</v>
      </c>
      <c r="AR28" s="135">
        <f>TB!BU64</f>
        <v>0</v>
      </c>
      <c r="AS28" s="135"/>
      <c r="AT28" s="135">
        <f t="shared" si="13"/>
        <v>66898.399999999994</v>
      </c>
      <c r="AU28" s="142" t="e">
        <f>+AT28-#REF!</f>
        <v>#REF!</v>
      </c>
      <c r="AV28" s="135">
        <f t="shared" si="13"/>
        <v>66898.399999999994</v>
      </c>
      <c r="AW28" s="135" t="e">
        <f t="shared" si="13"/>
        <v>#REF!</v>
      </c>
    </row>
    <row r="29" spans="1:49">
      <c r="A29" s="130" t="s">
        <v>147</v>
      </c>
      <c r="B29" s="283"/>
      <c r="D29" s="135">
        <f>TB!G78</f>
        <v>8663.01</v>
      </c>
      <c r="E29" s="134"/>
      <c r="F29" s="282">
        <f t="shared" ref="F29:F45" si="17">D29</f>
        <v>8663.01</v>
      </c>
      <c r="H29" s="135">
        <f>TB!M78</f>
        <v>8961.1200000000008</v>
      </c>
      <c r="I29" s="134"/>
      <c r="J29" s="135">
        <f t="shared" si="15"/>
        <v>17624.13</v>
      </c>
      <c r="L29" s="135">
        <f>TB!S78</f>
        <v>11245.29</v>
      </c>
      <c r="M29" s="134"/>
      <c r="N29" s="135">
        <f t="shared" si="16"/>
        <v>28869.420000000002</v>
      </c>
      <c r="P29" s="135">
        <f>TB!Y78</f>
        <v>10977.78</v>
      </c>
      <c r="Q29" s="134"/>
      <c r="R29" s="135">
        <f t="shared" si="6"/>
        <v>39847.200000000004</v>
      </c>
      <c r="T29" s="135">
        <f>TB!AE78</f>
        <v>12064.3</v>
      </c>
      <c r="V29" s="135">
        <f t="shared" si="7"/>
        <v>51911.5</v>
      </c>
      <c r="X29" s="135">
        <f>TB!AQ78</f>
        <v>0</v>
      </c>
      <c r="Z29" s="135">
        <f t="shared" si="8"/>
        <v>51911.5</v>
      </c>
      <c r="AB29" s="135">
        <f>TB!AW78</f>
        <v>0</v>
      </c>
      <c r="AD29" s="135">
        <f t="shared" si="9"/>
        <v>51911.5</v>
      </c>
      <c r="AE29" s="203"/>
      <c r="AF29" s="135">
        <f>TB!BC78</f>
        <v>0</v>
      </c>
      <c r="AH29" s="135">
        <f t="shared" si="10"/>
        <v>51911.5</v>
      </c>
      <c r="AJ29" s="135">
        <f>TB!BI78</f>
        <v>0</v>
      </c>
      <c r="AL29" s="135">
        <f t="shared" si="11"/>
        <v>51911.5</v>
      </c>
      <c r="AN29" s="135">
        <f>TB!BO78</f>
        <v>0</v>
      </c>
      <c r="AP29" s="135">
        <f t="shared" si="12"/>
        <v>51911.5</v>
      </c>
      <c r="AR29" s="135">
        <f>TB!BU78</f>
        <v>0</v>
      </c>
      <c r="AS29" s="135"/>
      <c r="AT29" s="135">
        <f t="shared" si="13"/>
        <v>51911.5</v>
      </c>
      <c r="AU29" s="142" t="e">
        <f>+AT29-#REF!</f>
        <v>#REF!</v>
      </c>
      <c r="AV29" s="135">
        <f t="shared" si="13"/>
        <v>51911.5</v>
      </c>
      <c r="AW29" s="135" t="e">
        <f t="shared" si="13"/>
        <v>#REF!</v>
      </c>
    </row>
    <row r="30" spans="1:49">
      <c r="A30" s="130" t="s">
        <v>138</v>
      </c>
      <c r="B30" s="283"/>
      <c r="D30" s="135">
        <f>TB!G67</f>
        <v>8000</v>
      </c>
      <c r="E30" s="134"/>
      <c r="F30" s="282">
        <f t="shared" si="17"/>
        <v>8000</v>
      </c>
      <c r="H30" s="135">
        <f>TB!M67</f>
        <v>8000</v>
      </c>
      <c r="I30" s="134"/>
      <c r="J30" s="135">
        <f t="shared" si="15"/>
        <v>16000</v>
      </c>
      <c r="L30" s="135">
        <f>TB!S67</f>
        <v>8000</v>
      </c>
      <c r="M30" s="134"/>
      <c r="N30" s="135">
        <f t="shared" si="16"/>
        <v>24000</v>
      </c>
      <c r="P30" s="135">
        <f>TB!Y67</f>
        <v>26000</v>
      </c>
      <c r="Q30" s="134"/>
      <c r="R30" s="135">
        <f t="shared" si="6"/>
        <v>50000</v>
      </c>
      <c r="T30" s="135">
        <f>TB!AE67</f>
        <v>8000</v>
      </c>
      <c r="V30" s="135">
        <f t="shared" si="7"/>
        <v>58000</v>
      </c>
      <c r="X30" s="135">
        <f>TB!AQ67</f>
        <v>0</v>
      </c>
      <c r="Z30" s="135">
        <f t="shared" si="8"/>
        <v>58000</v>
      </c>
      <c r="AB30" s="135">
        <f>TB!AW67</f>
        <v>0</v>
      </c>
      <c r="AD30" s="135">
        <f t="shared" si="9"/>
        <v>58000</v>
      </c>
      <c r="AE30" s="203"/>
      <c r="AF30" s="135">
        <f>TB!BC67</f>
        <v>0</v>
      </c>
      <c r="AH30" s="135">
        <f t="shared" si="10"/>
        <v>58000</v>
      </c>
      <c r="AJ30" s="135">
        <f>TB!BI67</f>
        <v>0</v>
      </c>
      <c r="AL30" s="135">
        <f t="shared" si="11"/>
        <v>58000</v>
      </c>
      <c r="AN30" s="135">
        <f>TB!BO67</f>
        <v>0</v>
      </c>
      <c r="AP30" s="135">
        <f t="shared" si="12"/>
        <v>58000</v>
      </c>
      <c r="AR30" s="135">
        <f>TB!BU67</f>
        <v>0</v>
      </c>
      <c r="AS30" s="135"/>
      <c r="AT30" s="135">
        <f t="shared" si="13"/>
        <v>58000</v>
      </c>
      <c r="AU30" s="142"/>
      <c r="AV30" s="135">
        <f t="shared" si="13"/>
        <v>58000</v>
      </c>
      <c r="AW30" s="135">
        <f t="shared" si="13"/>
        <v>0</v>
      </c>
    </row>
    <row r="31" spans="1:49">
      <c r="A31" s="130" t="s">
        <v>146</v>
      </c>
      <c r="B31" s="283"/>
      <c r="D31" s="135">
        <f>TB!G77</f>
        <v>1376.6875</v>
      </c>
      <c r="E31" s="134"/>
      <c r="F31" s="282">
        <f t="shared" si="17"/>
        <v>1376.6875</v>
      </c>
      <c r="H31" s="135">
        <f>TB!M77</f>
        <v>1762.59</v>
      </c>
      <c r="I31" s="134"/>
      <c r="J31" s="135">
        <f t="shared" si="15"/>
        <v>3139.2775000000001</v>
      </c>
      <c r="L31" s="135">
        <f>TB!S77</f>
        <v>5555.71</v>
      </c>
      <c r="M31" s="134"/>
      <c r="N31" s="135">
        <f t="shared" si="16"/>
        <v>8694.9874999999993</v>
      </c>
      <c r="P31" s="135">
        <f>TB!Y77</f>
        <v>1247.9910714285713</v>
      </c>
      <c r="Q31" s="134"/>
      <c r="R31" s="135">
        <f t="shared" si="6"/>
        <v>9942.9785714285699</v>
      </c>
      <c r="T31" s="135">
        <f>TB!AE77</f>
        <v>1742.63</v>
      </c>
      <c r="V31" s="135">
        <f t="shared" si="7"/>
        <v>11685.608571428569</v>
      </c>
      <c r="X31" s="135">
        <f>TB!AQ77</f>
        <v>0</v>
      </c>
      <c r="Z31" s="135">
        <f t="shared" si="8"/>
        <v>11685.608571428569</v>
      </c>
      <c r="AB31" s="135">
        <f>TB!AW77</f>
        <v>0</v>
      </c>
      <c r="AD31" s="135">
        <f t="shared" si="9"/>
        <v>11685.608571428569</v>
      </c>
      <c r="AE31" s="203"/>
      <c r="AF31" s="135">
        <f>TB!BC77</f>
        <v>0</v>
      </c>
      <c r="AH31" s="135">
        <f t="shared" si="10"/>
        <v>11685.608571428569</v>
      </c>
      <c r="AJ31" s="135">
        <f>TB!BI77</f>
        <v>0</v>
      </c>
      <c r="AL31" s="135">
        <f t="shared" si="11"/>
        <v>11685.608571428569</v>
      </c>
      <c r="AN31" s="135">
        <f>TB!BO77</f>
        <v>0</v>
      </c>
      <c r="AP31" s="135">
        <f t="shared" si="12"/>
        <v>11685.608571428569</v>
      </c>
      <c r="AR31" s="135">
        <f>TB!BU77</f>
        <v>0</v>
      </c>
      <c r="AS31" s="135"/>
      <c r="AT31" s="135">
        <f t="shared" si="13"/>
        <v>11685.608571428569</v>
      </c>
      <c r="AU31" s="142" t="e">
        <f>+AT31-#REF!</f>
        <v>#REF!</v>
      </c>
      <c r="AV31" s="135">
        <f t="shared" si="13"/>
        <v>11685.608571428569</v>
      </c>
      <c r="AW31" s="135" t="e">
        <f t="shared" si="13"/>
        <v>#REF!</v>
      </c>
    </row>
    <row r="32" spans="1:49">
      <c r="A32" s="130" t="s">
        <v>139</v>
      </c>
      <c r="B32" s="283"/>
      <c r="D32" s="135">
        <f>TB!G69</f>
        <v>28481.75</v>
      </c>
      <c r="E32" s="134"/>
      <c r="F32" s="282">
        <f t="shared" si="17"/>
        <v>28481.75</v>
      </c>
      <c r="H32" s="135">
        <f>TB!M69</f>
        <v>2000</v>
      </c>
      <c r="I32" s="134"/>
      <c r="J32" s="135">
        <f t="shared" si="15"/>
        <v>30481.75</v>
      </c>
      <c r="L32" s="135">
        <f>TB!S69</f>
        <v>2035</v>
      </c>
      <c r="M32" s="134"/>
      <c r="N32" s="135">
        <f t="shared" si="16"/>
        <v>32516.75</v>
      </c>
      <c r="P32" s="135">
        <f>TB!Y69</f>
        <v>16116.66</v>
      </c>
      <c r="Q32" s="134"/>
      <c r="R32" s="135">
        <f t="shared" si="6"/>
        <v>48633.41</v>
      </c>
      <c r="T32" s="135">
        <f>TB!AE69</f>
        <v>2000</v>
      </c>
      <c r="V32" s="135">
        <f t="shared" si="7"/>
        <v>50633.41</v>
      </c>
      <c r="X32" s="135">
        <f>TB!AQ69</f>
        <v>0</v>
      </c>
      <c r="Z32" s="135">
        <f t="shared" si="8"/>
        <v>50633.41</v>
      </c>
      <c r="AB32" s="135">
        <f>TB!AW69</f>
        <v>0</v>
      </c>
      <c r="AD32" s="135">
        <f t="shared" si="9"/>
        <v>50633.41</v>
      </c>
      <c r="AE32" s="203"/>
      <c r="AF32" s="135">
        <f>TB!BC69</f>
        <v>0</v>
      </c>
      <c r="AH32" s="135">
        <f t="shared" si="10"/>
        <v>50633.41</v>
      </c>
      <c r="AJ32" s="135">
        <f>TB!BI69</f>
        <v>0</v>
      </c>
      <c r="AL32" s="135">
        <f t="shared" si="11"/>
        <v>50633.41</v>
      </c>
      <c r="AN32" s="135">
        <f>TB!BO69</f>
        <v>0</v>
      </c>
      <c r="AP32" s="135">
        <f t="shared" si="12"/>
        <v>50633.41</v>
      </c>
      <c r="AR32" s="135">
        <f>TB!BU69</f>
        <v>0</v>
      </c>
      <c r="AS32" s="135"/>
      <c r="AT32" s="135">
        <f t="shared" si="13"/>
        <v>50633.41</v>
      </c>
      <c r="AU32" s="142"/>
      <c r="AV32" s="135">
        <f t="shared" si="13"/>
        <v>50633.41</v>
      </c>
      <c r="AW32" s="135">
        <f t="shared" si="13"/>
        <v>0</v>
      </c>
    </row>
    <row r="33" spans="1:254">
      <c r="A33" s="130" t="s">
        <v>310</v>
      </c>
      <c r="B33" s="283"/>
      <c r="D33" s="135">
        <f>TB!G61</f>
        <v>21150.44</v>
      </c>
      <c r="E33" s="134"/>
      <c r="F33" s="282">
        <f t="shared" si="17"/>
        <v>21150.44</v>
      </c>
      <c r="H33" s="135">
        <f>TB!M61</f>
        <v>456</v>
      </c>
      <c r="I33" s="134"/>
      <c r="J33" s="135">
        <f t="shared" si="15"/>
        <v>21606.44</v>
      </c>
      <c r="L33" s="135">
        <f>TB!S61</f>
        <v>25694.21</v>
      </c>
      <c r="M33" s="134"/>
      <c r="N33" s="135">
        <f t="shared" si="16"/>
        <v>47300.649999999994</v>
      </c>
      <c r="P33" s="135">
        <f>TB!Y61</f>
        <v>19437.940000000002</v>
      </c>
      <c r="Q33" s="134"/>
      <c r="R33" s="135">
        <f t="shared" si="6"/>
        <v>66738.59</v>
      </c>
      <c r="T33" s="135">
        <f>TB!AE61</f>
        <v>30180.3</v>
      </c>
      <c r="V33" s="135">
        <f t="shared" si="7"/>
        <v>96918.89</v>
      </c>
      <c r="X33" s="135">
        <f>TB!AQ61</f>
        <v>0</v>
      </c>
      <c r="Z33" s="135">
        <f t="shared" si="8"/>
        <v>96918.89</v>
      </c>
      <c r="AB33" s="135">
        <f>TB!AW61</f>
        <v>0</v>
      </c>
      <c r="AD33" s="135">
        <f t="shared" si="9"/>
        <v>96918.89</v>
      </c>
      <c r="AE33" s="203"/>
      <c r="AF33" s="135">
        <f>TB!BC61</f>
        <v>0</v>
      </c>
      <c r="AH33" s="135">
        <f t="shared" si="10"/>
        <v>96918.89</v>
      </c>
      <c r="AJ33" s="135">
        <f>TB!BI61</f>
        <v>0</v>
      </c>
      <c r="AL33" s="135">
        <f t="shared" si="11"/>
        <v>96918.89</v>
      </c>
      <c r="AN33" s="135">
        <f>TB!BO61</f>
        <v>0</v>
      </c>
      <c r="AP33" s="135">
        <f t="shared" si="12"/>
        <v>96918.89</v>
      </c>
      <c r="AR33" s="135">
        <f>TB!BU61</f>
        <v>0</v>
      </c>
      <c r="AS33" s="135"/>
      <c r="AT33" s="135">
        <f t="shared" si="13"/>
        <v>96918.89</v>
      </c>
      <c r="AU33" s="142"/>
      <c r="AV33" s="135">
        <f t="shared" si="13"/>
        <v>96918.89</v>
      </c>
      <c r="AW33" s="135">
        <f t="shared" si="13"/>
        <v>0</v>
      </c>
    </row>
    <row r="34" spans="1:254">
      <c r="A34" s="130" t="s">
        <v>362</v>
      </c>
      <c r="B34" s="283"/>
      <c r="D34" s="135">
        <f>TB!G83</f>
        <v>2400</v>
      </c>
      <c r="E34" s="134"/>
      <c r="F34" s="282">
        <f t="shared" si="17"/>
        <v>2400</v>
      </c>
      <c r="H34" s="135">
        <f>TB!M83</f>
        <v>3387.5</v>
      </c>
      <c r="I34" s="134"/>
      <c r="J34" s="135">
        <f t="shared" si="15"/>
        <v>5787.5</v>
      </c>
      <c r="L34" s="135">
        <f>TB!S83</f>
        <v>1200</v>
      </c>
      <c r="M34" s="134"/>
      <c r="N34" s="135">
        <f t="shared" si="16"/>
        <v>6987.5</v>
      </c>
      <c r="P34" s="135">
        <f>TB!Y83</f>
        <v>1200</v>
      </c>
      <c r="Q34" s="134"/>
      <c r="R34" s="135">
        <f t="shared" si="6"/>
        <v>8187.5</v>
      </c>
      <c r="T34" s="135">
        <f>TB!AE83</f>
        <v>3146.43</v>
      </c>
      <c r="V34" s="135">
        <f t="shared" si="7"/>
        <v>11333.93</v>
      </c>
      <c r="X34" s="135">
        <f>TB!AQ83</f>
        <v>0</v>
      </c>
      <c r="Z34" s="135">
        <f t="shared" si="8"/>
        <v>11333.93</v>
      </c>
      <c r="AB34" s="135">
        <f>TB!AW83</f>
        <v>0</v>
      </c>
      <c r="AD34" s="135">
        <f t="shared" si="9"/>
        <v>11333.93</v>
      </c>
      <c r="AE34" s="203"/>
      <c r="AF34" s="135">
        <f>TB!BC83</f>
        <v>0</v>
      </c>
      <c r="AH34" s="135">
        <f t="shared" si="10"/>
        <v>11333.93</v>
      </c>
      <c r="AJ34" s="135">
        <f>TB!BI83</f>
        <v>0</v>
      </c>
      <c r="AL34" s="135">
        <f t="shared" si="11"/>
        <v>11333.93</v>
      </c>
      <c r="AN34" s="135">
        <f>TB!BO83</f>
        <v>0</v>
      </c>
      <c r="AP34" s="135">
        <f t="shared" si="12"/>
        <v>11333.93</v>
      </c>
      <c r="AR34" s="135">
        <f>TB!BU83</f>
        <v>0</v>
      </c>
      <c r="AS34" s="135"/>
      <c r="AT34" s="135">
        <f t="shared" si="13"/>
        <v>11333.93</v>
      </c>
      <c r="AU34" s="142"/>
      <c r="AV34" s="135">
        <f t="shared" si="13"/>
        <v>11333.93</v>
      </c>
      <c r="AW34" s="135">
        <f t="shared" si="13"/>
        <v>0</v>
      </c>
    </row>
    <row r="35" spans="1:254">
      <c r="A35" s="130" t="s">
        <v>151</v>
      </c>
      <c r="B35" s="283"/>
      <c r="D35" s="135">
        <f>TB!G84</f>
        <v>0</v>
      </c>
      <c r="E35" s="134"/>
      <c r="F35" s="282">
        <f t="shared" si="17"/>
        <v>0</v>
      </c>
      <c r="H35" s="135">
        <f>TB!M84</f>
        <v>414.29</v>
      </c>
      <c r="I35" s="134"/>
      <c r="J35" s="135">
        <f t="shared" si="15"/>
        <v>414.29</v>
      </c>
      <c r="L35" s="135">
        <f>TB!S84</f>
        <v>259.82</v>
      </c>
      <c r="M35" s="134"/>
      <c r="N35" s="135">
        <f t="shared" si="16"/>
        <v>674.11</v>
      </c>
      <c r="P35" s="135">
        <f>TB!Y84</f>
        <v>0</v>
      </c>
      <c r="Q35" s="134"/>
      <c r="R35" s="135">
        <f t="shared" si="6"/>
        <v>674.11</v>
      </c>
      <c r="T35" s="135">
        <f>TB!AE84</f>
        <v>0</v>
      </c>
      <c r="V35" s="135">
        <f t="shared" si="7"/>
        <v>674.11</v>
      </c>
      <c r="X35" s="135">
        <f>TB!AQ84</f>
        <v>0</v>
      </c>
      <c r="Z35" s="135">
        <f t="shared" si="8"/>
        <v>674.11</v>
      </c>
      <c r="AB35" s="135">
        <f>TB!AW84</f>
        <v>0</v>
      </c>
      <c r="AD35" s="135">
        <f t="shared" si="9"/>
        <v>674.11</v>
      </c>
      <c r="AE35" s="203"/>
      <c r="AF35" s="135">
        <f>TB!BC84</f>
        <v>0</v>
      </c>
      <c r="AH35" s="135">
        <f t="shared" si="10"/>
        <v>674.11</v>
      </c>
      <c r="AJ35" s="135">
        <f>TB!BI84</f>
        <v>0</v>
      </c>
      <c r="AL35" s="135">
        <f t="shared" si="11"/>
        <v>674.11</v>
      </c>
      <c r="AN35" s="135">
        <f>TB!BO84</f>
        <v>0</v>
      </c>
      <c r="AP35" s="135">
        <f t="shared" si="12"/>
        <v>674.11</v>
      </c>
      <c r="AR35" s="135">
        <f>TB!BU84</f>
        <v>0</v>
      </c>
      <c r="AS35" s="135"/>
      <c r="AT35" s="135">
        <f t="shared" si="13"/>
        <v>674.11</v>
      </c>
      <c r="AU35" s="142" t="e">
        <f>+AT35-#REF!</f>
        <v>#REF!</v>
      </c>
      <c r="AV35" s="135">
        <f t="shared" si="13"/>
        <v>674.11</v>
      </c>
      <c r="AW35" s="135" t="e">
        <f t="shared" si="13"/>
        <v>#REF!</v>
      </c>
    </row>
    <row r="36" spans="1:254">
      <c r="A36" s="130" t="s">
        <v>141</v>
      </c>
      <c r="B36" s="283"/>
      <c r="D36" s="135">
        <f>TB!G71</f>
        <v>0</v>
      </c>
      <c r="E36" s="134"/>
      <c r="F36" s="282">
        <f t="shared" si="17"/>
        <v>0</v>
      </c>
      <c r="H36" s="135">
        <f>TB!M71</f>
        <v>0</v>
      </c>
      <c r="I36" s="134"/>
      <c r="J36" s="135">
        <f t="shared" si="15"/>
        <v>0</v>
      </c>
      <c r="L36" s="135">
        <f>TB!S71</f>
        <v>0</v>
      </c>
      <c r="M36" s="134"/>
      <c r="N36" s="135">
        <f t="shared" si="16"/>
        <v>0</v>
      </c>
      <c r="P36" s="135">
        <f>TB!Y71</f>
        <v>6703.35</v>
      </c>
      <c r="Q36" s="134"/>
      <c r="R36" s="135">
        <f t="shared" si="6"/>
        <v>6703.35</v>
      </c>
      <c r="T36" s="135">
        <f>TB!AE71</f>
        <v>0</v>
      </c>
      <c r="V36" s="135">
        <f t="shared" si="7"/>
        <v>6703.35</v>
      </c>
      <c r="X36" s="135">
        <f>TB!AQ71</f>
        <v>0</v>
      </c>
      <c r="Z36" s="135">
        <f t="shared" si="8"/>
        <v>6703.35</v>
      </c>
      <c r="AB36" s="135">
        <f>TB!AW71</f>
        <v>0</v>
      </c>
      <c r="AD36" s="135">
        <f t="shared" si="9"/>
        <v>6703.35</v>
      </c>
      <c r="AE36" s="203"/>
      <c r="AF36" s="135">
        <f>TB!BC71</f>
        <v>0</v>
      </c>
      <c r="AH36" s="135">
        <f t="shared" si="10"/>
        <v>6703.35</v>
      </c>
      <c r="AJ36" s="135">
        <f>TB!BI71</f>
        <v>0</v>
      </c>
      <c r="AL36" s="135">
        <f t="shared" si="11"/>
        <v>6703.35</v>
      </c>
      <c r="AN36" s="135">
        <f>TB!BO71</f>
        <v>0</v>
      </c>
      <c r="AP36" s="135">
        <f t="shared" si="12"/>
        <v>6703.35</v>
      </c>
      <c r="AR36" s="135">
        <f>TB!BU71</f>
        <v>0</v>
      </c>
      <c r="AS36" s="135"/>
      <c r="AT36" s="135">
        <f t="shared" si="13"/>
        <v>6703.35</v>
      </c>
      <c r="AU36" s="142"/>
      <c r="AV36" s="135">
        <f t="shared" si="13"/>
        <v>6703.35</v>
      </c>
      <c r="AW36" s="135">
        <f t="shared" si="13"/>
        <v>0</v>
      </c>
    </row>
    <row r="37" spans="1:254">
      <c r="A37" s="130" t="s">
        <v>136</v>
      </c>
      <c r="B37" s="283"/>
      <c r="D37" s="135">
        <f>TB!G66</f>
        <v>213.75</v>
      </c>
      <c r="E37" s="134"/>
      <c r="F37" s="282">
        <f t="shared" si="17"/>
        <v>213.75</v>
      </c>
      <c r="H37" s="135">
        <f>TB!M66</f>
        <v>0</v>
      </c>
      <c r="I37" s="134"/>
      <c r="J37" s="135">
        <f t="shared" si="15"/>
        <v>213.75</v>
      </c>
      <c r="L37" s="135">
        <f>TB!S66</f>
        <v>0</v>
      </c>
      <c r="M37" s="134"/>
      <c r="N37" s="135">
        <f t="shared" si="16"/>
        <v>213.75</v>
      </c>
      <c r="P37" s="135">
        <f>TB!Y66</f>
        <v>0</v>
      </c>
      <c r="Q37" s="134"/>
      <c r="R37" s="135">
        <f t="shared" si="6"/>
        <v>213.75</v>
      </c>
      <c r="T37" s="135">
        <f>TB!AE66</f>
        <v>1867.26</v>
      </c>
      <c r="V37" s="135">
        <f t="shared" si="7"/>
        <v>2081.0100000000002</v>
      </c>
      <c r="X37" s="135">
        <f>TB!AQ66</f>
        <v>0</v>
      </c>
      <c r="Z37" s="135">
        <f t="shared" si="8"/>
        <v>2081.0100000000002</v>
      </c>
      <c r="AB37" s="135">
        <f>TB!AW66</f>
        <v>0</v>
      </c>
      <c r="AD37" s="135">
        <f t="shared" si="9"/>
        <v>2081.0100000000002</v>
      </c>
      <c r="AE37" s="203"/>
      <c r="AF37" s="135">
        <f>TB!BC66</f>
        <v>0</v>
      </c>
      <c r="AH37" s="135">
        <f t="shared" si="10"/>
        <v>2081.0100000000002</v>
      </c>
      <c r="AJ37" s="135">
        <f>TB!BI66</f>
        <v>0</v>
      </c>
      <c r="AL37" s="135">
        <f t="shared" si="11"/>
        <v>2081.0100000000002</v>
      </c>
      <c r="AN37" s="135">
        <f>TB!BO66</f>
        <v>0</v>
      </c>
      <c r="AP37" s="135">
        <f t="shared" si="12"/>
        <v>2081.0100000000002</v>
      </c>
      <c r="AR37" s="135">
        <f>TB!BU66</f>
        <v>0</v>
      </c>
      <c r="AS37" s="135"/>
      <c r="AT37" s="135">
        <f t="shared" si="13"/>
        <v>2081.0100000000002</v>
      </c>
      <c r="AU37" s="142" t="e">
        <f>+AT37-#REF!</f>
        <v>#REF!</v>
      </c>
      <c r="AV37" s="135">
        <f t="shared" si="13"/>
        <v>2081.0100000000002</v>
      </c>
      <c r="AW37" s="135" t="e">
        <f t="shared" si="13"/>
        <v>#REF!</v>
      </c>
    </row>
    <row r="38" spans="1:254">
      <c r="A38" s="130" t="s">
        <v>140</v>
      </c>
      <c r="B38" s="283"/>
      <c r="D38" s="135">
        <f>TB!G70</f>
        <v>150</v>
      </c>
      <c r="E38" s="134"/>
      <c r="F38" s="282">
        <f t="shared" si="17"/>
        <v>150</v>
      </c>
      <c r="H38" s="135">
        <f>TB!M70</f>
        <v>0</v>
      </c>
      <c r="I38" s="134"/>
      <c r="J38" s="135">
        <f t="shared" si="15"/>
        <v>150</v>
      </c>
      <c r="L38" s="135">
        <f>TB!S70</f>
        <v>300</v>
      </c>
      <c r="M38" s="134"/>
      <c r="N38" s="135">
        <f t="shared" si="16"/>
        <v>450</v>
      </c>
      <c r="P38" s="135">
        <f>TB!Y70</f>
        <v>0</v>
      </c>
      <c r="Q38" s="134"/>
      <c r="R38" s="135">
        <f t="shared" si="6"/>
        <v>450</v>
      </c>
      <c r="T38" s="135">
        <f>TB!AE70</f>
        <v>0</v>
      </c>
      <c r="V38" s="135">
        <f t="shared" si="7"/>
        <v>450</v>
      </c>
      <c r="X38" s="135">
        <f>TB!AQ70</f>
        <v>0</v>
      </c>
      <c r="Z38" s="135">
        <f t="shared" si="8"/>
        <v>450</v>
      </c>
      <c r="AB38" s="135">
        <f>TB!AW70</f>
        <v>0</v>
      </c>
      <c r="AD38" s="135">
        <f t="shared" si="9"/>
        <v>450</v>
      </c>
      <c r="AE38" s="203"/>
      <c r="AF38" s="135">
        <f>TB!BC70</f>
        <v>0</v>
      </c>
      <c r="AH38" s="135">
        <f t="shared" si="10"/>
        <v>450</v>
      </c>
      <c r="AJ38" s="135">
        <f>TB!BI70</f>
        <v>0</v>
      </c>
      <c r="AL38" s="135">
        <f t="shared" si="11"/>
        <v>450</v>
      </c>
      <c r="AN38" s="135">
        <f>TB!BO70</f>
        <v>0</v>
      </c>
      <c r="AP38" s="135">
        <f t="shared" si="12"/>
        <v>450</v>
      </c>
      <c r="AR38" s="135">
        <f>TB!BU70</f>
        <v>0</v>
      </c>
      <c r="AS38" s="135"/>
      <c r="AT38" s="135">
        <f t="shared" si="13"/>
        <v>450</v>
      </c>
      <c r="AU38" s="142"/>
      <c r="AV38" s="135">
        <f t="shared" si="13"/>
        <v>450</v>
      </c>
      <c r="AW38" s="135">
        <f t="shared" si="13"/>
        <v>0</v>
      </c>
    </row>
    <row r="39" spans="1:254">
      <c r="A39" s="130" t="s">
        <v>153</v>
      </c>
      <c r="B39" s="283"/>
      <c r="D39" s="135">
        <f>TB!G86</f>
        <v>100</v>
      </c>
      <c r="E39" s="134"/>
      <c r="F39" s="282">
        <f t="shared" si="17"/>
        <v>100</v>
      </c>
      <c r="H39" s="135">
        <f>TB!M86</f>
        <v>0</v>
      </c>
      <c r="I39" s="134"/>
      <c r="J39" s="135">
        <f t="shared" si="15"/>
        <v>100</v>
      </c>
      <c r="L39" s="135">
        <f>TB!S86</f>
        <v>0</v>
      </c>
      <c r="M39" s="134"/>
      <c r="N39" s="135">
        <f t="shared" si="16"/>
        <v>100</v>
      </c>
      <c r="P39" s="135">
        <f>TB!Y86</f>
        <v>7494.65</v>
      </c>
      <c r="Q39" s="134"/>
      <c r="R39" s="135">
        <f t="shared" si="6"/>
        <v>7594.65</v>
      </c>
      <c r="T39" s="135">
        <f>TB!AE86</f>
        <v>1765.8</v>
      </c>
      <c r="V39" s="135">
        <f t="shared" si="7"/>
        <v>9360.4499999999989</v>
      </c>
      <c r="X39" s="135">
        <f>TB!AQ86</f>
        <v>0</v>
      </c>
      <c r="Z39" s="135">
        <f t="shared" si="8"/>
        <v>9360.4499999999989</v>
      </c>
      <c r="AB39" s="135">
        <f>TB!AW86</f>
        <v>0</v>
      </c>
      <c r="AD39" s="135">
        <f t="shared" si="9"/>
        <v>9360.4499999999989</v>
      </c>
      <c r="AE39" s="203"/>
      <c r="AF39" s="135">
        <f>TB!BC86</f>
        <v>0</v>
      </c>
      <c r="AH39" s="135">
        <f t="shared" si="10"/>
        <v>9360.4499999999989</v>
      </c>
      <c r="AJ39" s="135">
        <f>TB!BI86</f>
        <v>0</v>
      </c>
      <c r="AL39" s="135">
        <f t="shared" si="11"/>
        <v>9360.4499999999989</v>
      </c>
      <c r="AN39" s="135">
        <f>TB!BO86</f>
        <v>0</v>
      </c>
      <c r="AP39" s="135">
        <f t="shared" si="12"/>
        <v>9360.4499999999989</v>
      </c>
      <c r="AR39" s="135">
        <f>TB!BU86</f>
        <v>0</v>
      </c>
      <c r="AS39" s="135"/>
      <c r="AT39" s="135">
        <f t="shared" si="13"/>
        <v>9360.4499999999989</v>
      </c>
      <c r="AU39" s="142"/>
      <c r="AV39" s="135">
        <f t="shared" si="13"/>
        <v>9360.4499999999989</v>
      </c>
      <c r="AW39" s="135">
        <f t="shared" si="13"/>
        <v>0</v>
      </c>
    </row>
    <row r="40" spans="1:254" hidden="1">
      <c r="A40" s="130" t="s">
        <v>367</v>
      </c>
      <c r="B40" s="283"/>
      <c r="D40" s="135">
        <f>TB!G82</f>
        <v>0</v>
      </c>
      <c r="E40" s="134"/>
      <c r="F40" s="282">
        <f t="shared" si="17"/>
        <v>0</v>
      </c>
      <c r="H40" s="135">
        <f>TB!M82</f>
        <v>0</v>
      </c>
      <c r="I40" s="134"/>
      <c r="J40" s="135">
        <f t="shared" si="15"/>
        <v>0</v>
      </c>
      <c r="L40" s="135">
        <f>TB!S82</f>
        <v>0</v>
      </c>
      <c r="M40" s="134"/>
      <c r="N40" s="135">
        <f t="shared" si="16"/>
        <v>0</v>
      </c>
      <c r="P40" s="135">
        <f>TB!AE82</f>
        <v>0</v>
      </c>
      <c r="Q40" s="134"/>
      <c r="R40" s="135">
        <f t="shared" si="6"/>
        <v>0</v>
      </c>
      <c r="AE40" s="203"/>
      <c r="AF40" s="135"/>
      <c r="AJ40" s="135"/>
      <c r="AN40" s="135"/>
      <c r="AR40" s="135"/>
      <c r="AS40" s="135"/>
      <c r="AT40" s="135"/>
      <c r="AU40" s="142"/>
      <c r="AV40" s="135"/>
      <c r="AW40" s="135"/>
    </row>
    <row r="41" spans="1:254" ht="15.75" customHeight="1">
      <c r="A41" s="130" t="s">
        <v>396</v>
      </c>
      <c r="B41" s="283"/>
      <c r="D41" s="135">
        <f>TB!G74</f>
        <v>0</v>
      </c>
      <c r="E41" s="134"/>
      <c r="F41" s="282">
        <f t="shared" si="17"/>
        <v>0</v>
      </c>
      <c r="H41" s="135">
        <f>TB!M74</f>
        <v>0</v>
      </c>
      <c r="I41" s="134"/>
      <c r="J41" s="135">
        <f t="shared" si="15"/>
        <v>0</v>
      </c>
      <c r="L41" s="135">
        <f>TB!S74</f>
        <v>350</v>
      </c>
      <c r="M41" s="134"/>
      <c r="N41" s="135">
        <f t="shared" si="16"/>
        <v>350</v>
      </c>
      <c r="P41" s="135">
        <f>TB!Y74</f>
        <v>0</v>
      </c>
      <c r="Q41" s="134"/>
      <c r="R41" s="135">
        <f t="shared" si="6"/>
        <v>350</v>
      </c>
      <c r="T41" s="135">
        <f>TB!AE74</f>
        <v>0</v>
      </c>
      <c r="V41" s="135">
        <f>R41+T41</f>
        <v>350</v>
      </c>
      <c r="X41" s="135">
        <f>TB!AG74</f>
        <v>0</v>
      </c>
      <c r="Z41" s="135">
        <f>V41+X41</f>
        <v>350</v>
      </c>
      <c r="AB41" s="135">
        <f>TB!AK74</f>
        <v>0</v>
      </c>
      <c r="AD41" s="135">
        <f>Z41+AB41</f>
        <v>350</v>
      </c>
      <c r="AE41" s="203"/>
      <c r="AF41" s="135">
        <f>TB!AO74</f>
        <v>0</v>
      </c>
      <c r="AH41" s="135">
        <f>AD41+AF41</f>
        <v>350</v>
      </c>
      <c r="AJ41" s="135">
        <f>TB!AS74</f>
        <v>0</v>
      </c>
      <c r="AL41" s="135">
        <f>AH41+AJ41</f>
        <v>350</v>
      </c>
      <c r="AN41" s="135">
        <f>TB!AW74</f>
        <v>0</v>
      </c>
      <c r="AP41" s="135">
        <f>AL41+AN41</f>
        <v>350</v>
      </c>
      <c r="AR41" s="135">
        <f>TB!BA74</f>
        <v>0</v>
      </c>
      <c r="AS41" s="135"/>
      <c r="AT41" s="135">
        <f>AP41+AR41</f>
        <v>350</v>
      </c>
      <c r="AU41" s="142" t="e">
        <f>+AT41-#REF!</f>
        <v>#REF!</v>
      </c>
      <c r="AV41" s="135">
        <f t="shared" ref="AV41:AW45" si="18">AR41+AT41</f>
        <v>350</v>
      </c>
      <c r="AW41" s="135" t="e">
        <f t="shared" si="18"/>
        <v>#REF!</v>
      </c>
    </row>
    <row r="42" spans="1:254" hidden="1">
      <c r="A42" s="130" t="s">
        <v>133</v>
      </c>
      <c r="B42" s="283"/>
      <c r="D42" s="135">
        <f>TB!G60</f>
        <v>0</v>
      </c>
      <c r="E42" s="134"/>
      <c r="F42" s="282">
        <f t="shared" si="17"/>
        <v>0</v>
      </c>
      <c r="H42" s="135">
        <f>TB!M60</f>
        <v>0</v>
      </c>
      <c r="I42" s="134"/>
      <c r="J42" s="135">
        <f t="shared" si="15"/>
        <v>0</v>
      </c>
      <c r="L42" s="135">
        <f>TB!S60</f>
        <v>0</v>
      </c>
      <c r="M42" s="134"/>
      <c r="N42" s="135">
        <f t="shared" si="16"/>
        <v>0</v>
      </c>
      <c r="P42" s="135">
        <f>TB!AE60</f>
        <v>0</v>
      </c>
      <c r="Q42" s="134"/>
      <c r="R42" s="135">
        <f t="shared" si="6"/>
        <v>0</v>
      </c>
      <c r="T42" s="135">
        <f>TB!AE60</f>
        <v>0</v>
      </c>
      <c r="V42" s="135">
        <f>R42+T42</f>
        <v>0</v>
      </c>
      <c r="X42" s="135">
        <f>TB!AG60</f>
        <v>0</v>
      </c>
      <c r="Z42" s="135">
        <f>V42+X42</f>
        <v>0</v>
      </c>
      <c r="AB42" s="135">
        <f>TB!AK60</f>
        <v>0</v>
      </c>
      <c r="AD42" s="135">
        <f>Z42+AB42</f>
        <v>0</v>
      </c>
      <c r="AE42" s="203"/>
      <c r="AF42" s="135">
        <f>TB!AO60</f>
        <v>0</v>
      </c>
      <c r="AH42" s="135">
        <f>AD42+AF42</f>
        <v>0</v>
      </c>
      <c r="AJ42" s="135">
        <f>TB!AS60</f>
        <v>0</v>
      </c>
      <c r="AL42" s="135">
        <f>AH42+AJ42</f>
        <v>0</v>
      </c>
      <c r="AN42" s="135">
        <f>TB!AW60</f>
        <v>0</v>
      </c>
      <c r="AP42" s="135">
        <f>AL42+AN42</f>
        <v>0</v>
      </c>
      <c r="AR42" s="135">
        <f>TB!BA60</f>
        <v>0</v>
      </c>
      <c r="AS42" s="135"/>
      <c r="AT42" s="135">
        <f>AP42+AR42</f>
        <v>0</v>
      </c>
      <c r="AU42" s="142" t="e">
        <f>+AT42-#REF!</f>
        <v>#REF!</v>
      </c>
      <c r="AV42" s="135">
        <f t="shared" si="18"/>
        <v>0</v>
      </c>
      <c r="AW42" s="135" t="e">
        <f t="shared" si="18"/>
        <v>#REF!</v>
      </c>
    </row>
    <row r="43" spans="1:254" ht="15.75" hidden="1" customHeight="1">
      <c r="A43" s="298" t="s">
        <v>145</v>
      </c>
      <c r="B43" s="283"/>
      <c r="D43" s="135">
        <f>TB!G76</f>
        <v>0</v>
      </c>
      <c r="E43" s="134"/>
      <c r="F43" s="282">
        <f t="shared" si="17"/>
        <v>0</v>
      </c>
      <c r="H43" s="135">
        <f>TB!M76</f>
        <v>0</v>
      </c>
      <c r="I43" s="134"/>
      <c r="J43" s="135">
        <f t="shared" si="15"/>
        <v>0</v>
      </c>
      <c r="L43" s="135">
        <f>TB!S76</f>
        <v>0</v>
      </c>
      <c r="M43" s="134"/>
      <c r="N43" s="135">
        <f t="shared" si="16"/>
        <v>0</v>
      </c>
      <c r="P43" s="135">
        <f>TB!AE76</f>
        <v>0</v>
      </c>
      <c r="Q43" s="134"/>
      <c r="R43" s="135">
        <f t="shared" si="6"/>
        <v>0</v>
      </c>
      <c r="T43" s="135">
        <f>TB!AE76</f>
        <v>0</v>
      </c>
      <c r="V43" s="135">
        <f>R43+T43</f>
        <v>0</v>
      </c>
      <c r="X43" s="135">
        <f>TB!AG76</f>
        <v>0</v>
      </c>
      <c r="Z43" s="135">
        <f>V43+X43</f>
        <v>0</v>
      </c>
      <c r="AB43" s="135">
        <f>TB!AK76</f>
        <v>0</v>
      </c>
      <c r="AD43" s="135">
        <f>Z43+AB43</f>
        <v>0</v>
      </c>
      <c r="AE43" s="203"/>
      <c r="AF43" s="135">
        <f>TB!AO76</f>
        <v>0</v>
      </c>
      <c r="AH43" s="135">
        <f>AD43+AF43</f>
        <v>0</v>
      </c>
      <c r="AJ43" s="135">
        <f>TB!AS76</f>
        <v>0</v>
      </c>
      <c r="AL43" s="135">
        <f>AH43+AJ43</f>
        <v>0</v>
      </c>
      <c r="AN43" s="135">
        <f>TB!AW76</f>
        <v>0</v>
      </c>
      <c r="AP43" s="135">
        <f>AL43+AN43</f>
        <v>0</v>
      </c>
      <c r="AR43" s="135">
        <f>TB!BA76</f>
        <v>0</v>
      </c>
      <c r="AS43" s="135"/>
      <c r="AT43" s="135">
        <f>AP43+AR43</f>
        <v>0</v>
      </c>
      <c r="AU43" s="142"/>
      <c r="AV43" s="135">
        <f t="shared" si="18"/>
        <v>0</v>
      </c>
      <c r="AW43" s="135">
        <f t="shared" si="18"/>
        <v>0</v>
      </c>
    </row>
    <row r="44" spans="1:254">
      <c r="A44" s="130" t="s">
        <v>152</v>
      </c>
      <c r="B44" s="283"/>
      <c r="D44" s="135">
        <f>TB!G85</f>
        <v>0</v>
      </c>
      <c r="E44" s="134"/>
      <c r="F44" s="282">
        <f t="shared" si="17"/>
        <v>0</v>
      </c>
      <c r="H44" s="135">
        <f>TB!M85</f>
        <v>0</v>
      </c>
      <c r="I44" s="134"/>
      <c r="J44" s="135">
        <f t="shared" si="15"/>
        <v>0</v>
      </c>
      <c r="L44" s="135">
        <f>TB!S85</f>
        <v>1141.26</v>
      </c>
      <c r="M44" s="134"/>
      <c r="N44" s="135">
        <f t="shared" si="16"/>
        <v>1141.26</v>
      </c>
      <c r="P44" s="135">
        <f>TB!Y85</f>
        <v>0</v>
      </c>
      <c r="Q44" s="134"/>
      <c r="R44" s="135">
        <f t="shared" si="6"/>
        <v>1141.26</v>
      </c>
      <c r="T44" s="135">
        <f>TB!AE85</f>
        <v>0</v>
      </c>
      <c r="V44" s="135">
        <f>R44+T44</f>
        <v>1141.26</v>
      </c>
      <c r="X44" s="135">
        <f>TB!AG85</f>
        <v>0</v>
      </c>
      <c r="Z44" s="135">
        <f>V44+X44</f>
        <v>1141.26</v>
      </c>
      <c r="AB44" s="135">
        <f>TB!AK85</f>
        <v>0</v>
      </c>
      <c r="AD44" s="135">
        <f>Z44+AB44</f>
        <v>1141.26</v>
      </c>
      <c r="AE44" s="203"/>
      <c r="AF44" s="135">
        <f>TB!BC85</f>
        <v>0</v>
      </c>
      <c r="AH44" s="135">
        <f>AD44+AF44</f>
        <v>1141.26</v>
      </c>
      <c r="AJ44" s="135">
        <f>TB!BI85</f>
        <v>0</v>
      </c>
      <c r="AL44" s="135">
        <f>AH44+AJ44</f>
        <v>1141.26</v>
      </c>
      <c r="AN44" s="135">
        <f>TB!BO85</f>
        <v>0</v>
      </c>
      <c r="AP44" s="135">
        <f>AL44+AN44</f>
        <v>1141.26</v>
      </c>
      <c r="AR44" s="135">
        <f>TB!BU85</f>
        <v>0</v>
      </c>
      <c r="AS44" s="135"/>
      <c r="AT44" s="135">
        <f>AP44+AR44</f>
        <v>1141.26</v>
      </c>
      <c r="AU44" s="142" t="e">
        <f>+AT44-#REF!</f>
        <v>#REF!</v>
      </c>
      <c r="AV44" s="135">
        <f t="shared" si="18"/>
        <v>1141.26</v>
      </c>
      <c r="AW44" s="135" t="e">
        <f t="shared" si="18"/>
        <v>#REF!</v>
      </c>
    </row>
    <row r="45" spans="1:254">
      <c r="A45" s="130" t="s">
        <v>143</v>
      </c>
      <c r="B45" s="283"/>
      <c r="D45" s="135">
        <f>TB!G73</f>
        <v>0</v>
      </c>
      <c r="E45" s="134"/>
      <c r="F45" s="282">
        <f t="shared" si="17"/>
        <v>0</v>
      </c>
      <c r="H45" s="135">
        <f>TB!M73</f>
        <v>0</v>
      </c>
      <c r="I45" s="134"/>
      <c r="J45" s="135">
        <f t="shared" si="15"/>
        <v>0</v>
      </c>
      <c r="L45" s="135">
        <f>TB!S73</f>
        <v>0</v>
      </c>
      <c r="M45" s="134"/>
      <c r="N45" s="135">
        <f t="shared" si="16"/>
        <v>0</v>
      </c>
      <c r="P45" s="135">
        <f>TB!Y73</f>
        <v>0</v>
      </c>
      <c r="Q45" s="134"/>
      <c r="R45" s="135">
        <f t="shared" si="6"/>
        <v>0</v>
      </c>
      <c r="T45" s="135">
        <f>TB!AE73</f>
        <v>0</v>
      </c>
      <c r="V45" s="135">
        <f>R45+T45</f>
        <v>0</v>
      </c>
      <c r="X45" s="135">
        <f>TB!AG73</f>
        <v>0</v>
      </c>
      <c r="Z45" s="135">
        <f>V45+X45</f>
        <v>0</v>
      </c>
      <c r="AB45" s="135">
        <f>TB!AK73</f>
        <v>0</v>
      </c>
      <c r="AD45" s="135">
        <f>Z45+AB45</f>
        <v>0</v>
      </c>
      <c r="AE45" s="203"/>
      <c r="AF45" s="135">
        <f>TB!AO73</f>
        <v>0</v>
      </c>
      <c r="AH45" s="135">
        <f>AD45+AF45</f>
        <v>0</v>
      </c>
      <c r="AJ45" s="135">
        <f>TB!AS73</f>
        <v>0</v>
      </c>
      <c r="AL45" s="135">
        <f>AH45+AJ45</f>
        <v>0</v>
      </c>
      <c r="AN45" s="135">
        <f>TB!AW73</f>
        <v>0</v>
      </c>
      <c r="AP45" s="135">
        <f>AL45+AN45</f>
        <v>0</v>
      </c>
      <c r="AR45" s="135">
        <f>TB!BA73</f>
        <v>0</v>
      </c>
      <c r="AS45" s="135"/>
      <c r="AT45" s="135">
        <f>AP45+AR45</f>
        <v>0</v>
      </c>
      <c r="AU45" s="142" t="e">
        <f>+AT45-#REF!</f>
        <v>#REF!</v>
      </c>
      <c r="AV45" s="135">
        <f t="shared" si="18"/>
        <v>0</v>
      </c>
      <c r="AW45" s="135" t="e">
        <f t="shared" si="18"/>
        <v>#REF!</v>
      </c>
    </row>
    <row r="46" spans="1:254" s="139" customFormat="1">
      <c r="A46" s="299" t="s">
        <v>55</v>
      </c>
      <c r="B46" s="300"/>
      <c r="C46" s="143">
        <f>SUM(C18:C45)</f>
        <v>0</v>
      </c>
      <c r="D46" s="143">
        <f>SUM(D18:D45)</f>
        <v>408049.74117261911</v>
      </c>
      <c r="E46" s="143">
        <f>SUM(E18:E45)</f>
        <v>0</v>
      </c>
      <c r="F46" s="302">
        <f>SUM(F18:F39)</f>
        <v>408049.74117261911</v>
      </c>
      <c r="G46" s="143">
        <f>SUM(G18:G45)</f>
        <v>0</v>
      </c>
      <c r="H46" s="143">
        <f>SUM(H18:H45)</f>
        <v>312167.05550595239</v>
      </c>
      <c r="I46" s="143">
        <f t="shared" ref="I46:P46" si="19">SUM(I18:I45)</f>
        <v>0</v>
      </c>
      <c r="J46" s="143">
        <f t="shared" si="19"/>
        <v>703734.71667857131</v>
      </c>
      <c r="K46" s="143">
        <f t="shared" si="19"/>
        <v>0</v>
      </c>
      <c r="L46" s="143">
        <f>SUM(L18:L45)</f>
        <v>364772.89550595236</v>
      </c>
      <c r="M46" s="143">
        <f t="shared" si="19"/>
        <v>0</v>
      </c>
      <c r="N46" s="143">
        <f t="shared" si="19"/>
        <v>1068507.6121845241</v>
      </c>
      <c r="O46" s="143">
        <f t="shared" si="19"/>
        <v>0</v>
      </c>
      <c r="P46" s="143">
        <f t="shared" si="19"/>
        <v>379847.5680059524</v>
      </c>
      <c r="Q46" s="143">
        <f t="shared" ref="Q46:AU46" si="20">SUM(Q18:Q45)</f>
        <v>0</v>
      </c>
      <c r="R46" s="143">
        <f t="shared" si="20"/>
        <v>1448355.1801904764</v>
      </c>
      <c r="S46" s="143">
        <f t="shared" si="20"/>
        <v>0</v>
      </c>
      <c r="T46" s="143">
        <f t="shared" si="20"/>
        <v>472818.80550595227</v>
      </c>
      <c r="U46" s="143">
        <f t="shared" si="20"/>
        <v>0</v>
      </c>
      <c r="V46" s="143">
        <f t="shared" si="20"/>
        <v>1921173.9856964282</v>
      </c>
      <c r="W46" s="143">
        <f t="shared" si="20"/>
        <v>0</v>
      </c>
      <c r="X46" s="143">
        <f t="shared" si="20"/>
        <v>0</v>
      </c>
      <c r="Y46" s="143">
        <f t="shared" si="20"/>
        <v>0</v>
      </c>
      <c r="Z46" s="143">
        <f t="shared" si="20"/>
        <v>1921173.9856964282</v>
      </c>
      <c r="AA46" s="143">
        <f t="shared" si="20"/>
        <v>0</v>
      </c>
      <c r="AB46" s="143">
        <f>SUM(AB18:AB45)</f>
        <v>0</v>
      </c>
      <c r="AC46" s="143">
        <f t="shared" si="20"/>
        <v>0</v>
      </c>
      <c r="AD46" s="143">
        <f t="shared" si="20"/>
        <v>1921173.9856964282</v>
      </c>
      <c r="AE46" s="209">
        <f t="shared" si="20"/>
        <v>0</v>
      </c>
      <c r="AF46" s="143">
        <f>SUM(AF18:AF45)</f>
        <v>0</v>
      </c>
      <c r="AG46" s="143">
        <f>SUM(AG18:AG45)</f>
        <v>0</v>
      </c>
      <c r="AH46" s="143">
        <f>SUM(AH18:AH45)</f>
        <v>1921173.9856964282</v>
      </c>
      <c r="AI46" s="143"/>
      <c r="AJ46" s="143">
        <f>SUM(AJ18:AJ45)</f>
        <v>0</v>
      </c>
      <c r="AK46" s="143">
        <f>SUM(AK18:AK45)</f>
        <v>0</v>
      </c>
      <c r="AL46" s="143">
        <f>SUM(AL18:AL45)</f>
        <v>1921173.9856964282</v>
      </c>
      <c r="AM46" s="143"/>
      <c r="AN46" s="143">
        <f>SUM(AN18:AN45)</f>
        <v>0</v>
      </c>
      <c r="AO46" s="143">
        <f>SUM(AO18:AO45)</f>
        <v>0</v>
      </c>
      <c r="AP46" s="143">
        <f>SUM(AP18:AP45)</f>
        <v>1921173.9856964282</v>
      </c>
      <c r="AQ46" s="143"/>
      <c r="AR46" s="143">
        <f>SUM(AR18:AR45)</f>
        <v>0</v>
      </c>
      <c r="AS46" s="143">
        <f>SUM(AS18:AS45)</f>
        <v>0</v>
      </c>
      <c r="AT46" s="143">
        <f>SUM(AT18:AT45)</f>
        <v>1921173.9856964282</v>
      </c>
      <c r="AU46" s="143" t="e">
        <f t="shared" si="20"/>
        <v>#REF!</v>
      </c>
      <c r="AV46" s="143">
        <f>SUM(AV18:AV45)</f>
        <v>1921173.9856964282</v>
      </c>
      <c r="AW46" s="143" t="e">
        <f>SUM(AW18:AW45)</f>
        <v>#REF!</v>
      </c>
    </row>
    <row r="47" spans="1:254" s="483" customFormat="1">
      <c r="A47" s="479" t="s">
        <v>385</v>
      </c>
      <c r="B47" s="480"/>
      <c r="C47" s="482"/>
      <c r="D47" s="482">
        <f>D15-D46</f>
        <v>-111655.02579547628</v>
      </c>
      <c r="E47" s="482"/>
      <c r="F47" s="482">
        <f>F15-F46</f>
        <v>-111655.02579547628</v>
      </c>
      <c r="G47" s="482">
        <f>G15-G46</f>
        <v>0</v>
      </c>
      <c r="H47" s="482">
        <f>H15-H46</f>
        <v>167452.71114404761</v>
      </c>
      <c r="I47" s="482"/>
      <c r="J47" s="482">
        <f>J15-J46</f>
        <v>72279.765348571353</v>
      </c>
      <c r="K47" s="482">
        <f>K15-K46</f>
        <v>0</v>
      </c>
      <c r="L47" s="482">
        <f>L15-L46</f>
        <v>217332.2721740476</v>
      </c>
      <c r="M47" s="482"/>
      <c r="N47" s="482">
        <f>N15-N46</f>
        <v>289612.03752261866</v>
      </c>
      <c r="O47" s="482">
        <f>O15-O46</f>
        <v>0</v>
      </c>
      <c r="P47" s="482">
        <f>P15-P46</f>
        <v>-119277.60159023828</v>
      </c>
      <c r="Q47" s="482"/>
      <c r="R47" s="482">
        <f>R15-R46</f>
        <v>108988.4559323804</v>
      </c>
      <c r="S47" s="482"/>
      <c r="T47" s="482">
        <f t="shared" ref="T47:AD47" si="21">T15-T46</f>
        <v>-235254.95827309543</v>
      </c>
      <c r="U47" s="482">
        <f t="shared" si="21"/>
        <v>0</v>
      </c>
      <c r="V47" s="482">
        <f t="shared" si="21"/>
        <v>-126266.50234071468</v>
      </c>
      <c r="W47" s="482" t="e">
        <f t="shared" si="21"/>
        <v>#VALUE!</v>
      </c>
      <c r="X47" s="482">
        <f t="shared" si="21"/>
        <v>0</v>
      </c>
      <c r="Y47" s="482" t="e">
        <f t="shared" si="21"/>
        <v>#VALUE!</v>
      </c>
      <c r="Z47" s="482">
        <f t="shared" si="21"/>
        <v>-126266.50234071468</v>
      </c>
      <c r="AA47" s="482" t="e">
        <f t="shared" si="21"/>
        <v>#VALUE!</v>
      </c>
      <c r="AB47" s="482">
        <f t="shared" si="21"/>
        <v>0</v>
      </c>
      <c r="AC47" s="482">
        <f t="shared" si="21"/>
        <v>0</v>
      </c>
      <c r="AD47" s="482">
        <f t="shared" si="21"/>
        <v>-126266.50234071468</v>
      </c>
      <c r="AE47" s="482"/>
      <c r="AF47" s="482">
        <f t="shared" ref="AF47:AL47" si="22">AF15-AF46</f>
        <v>0</v>
      </c>
      <c r="AG47" s="482">
        <f t="shared" si="22"/>
        <v>0</v>
      </c>
      <c r="AH47" s="482">
        <f t="shared" si="22"/>
        <v>-126266.50234071468</v>
      </c>
      <c r="AI47" s="482">
        <f t="shared" si="22"/>
        <v>0</v>
      </c>
      <c r="AJ47" s="482">
        <f t="shared" si="22"/>
        <v>0</v>
      </c>
      <c r="AK47" s="482">
        <f t="shared" si="22"/>
        <v>0</v>
      </c>
      <c r="AL47" s="482">
        <f t="shared" si="22"/>
        <v>-126266.50234071468</v>
      </c>
      <c r="AM47" s="482"/>
      <c r="AN47" s="482">
        <f t="shared" ref="AN47:CY47" si="23">AN15-AN46</f>
        <v>0</v>
      </c>
      <c r="AO47" s="482">
        <f t="shared" si="23"/>
        <v>0</v>
      </c>
      <c r="AP47" s="482">
        <f t="shared" si="23"/>
        <v>-126266.50234071468</v>
      </c>
      <c r="AQ47" s="482">
        <f t="shared" si="23"/>
        <v>0</v>
      </c>
      <c r="AR47" s="482">
        <f t="shared" si="23"/>
        <v>0</v>
      </c>
      <c r="AS47" s="482">
        <f t="shared" si="23"/>
        <v>0</v>
      </c>
      <c r="AT47" s="482">
        <f t="shared" si="23"/>
        <v>-126266.50234071468</v>
      </c>
      <c r="AU47" s="482" t="e">
        <f t="shared" si="23"/>
        <v>#REF!</v>
      </c>
      <c r="AV47" s="482">
        <f t="shared" si="23"/>
        <v>-126266.50234071468</v>
      </c>
      <c r="AW47" s="482" t="e">
        <f t="shared" si="23"/>
        <v>#VALUE!</v>
      </c>
      <c r="AX47" s="482">
        <f t="shared" si="23"/>
        <v>0</v>
      </c>
      <c r="AY47" s="482">
        <f t="shared" si="23"/>
        <v>0</v>
      </c>
      <c r="AZ47" s="482">
        <f t="shared" si="23"/>
        <v>0</v>
      </c>
      <c r="BA47" s="482">
        <f t="shared" si="23"/>
        <v>0</v>
      </c>
      <c r="BB47" s="482">
        <f t="shared" si="23"/>
        <v>0</v>
      </c>
      <c r="BC47" s="482">
        <f t="shared" si="23"/>
        <v>0</v>
      </c>
      <c r="BD47" s="482">
        <f t="shared" si="23"/>
        <v>0</v>
      </c>
      <c r="BE47" s="482">
        <f t="shared" si="23"/>
        <v>0</v>
      </c>
      <c r="BF47" s="482">
        <f t="shared" si="23"/>
        <v>0</v>
      </c>
      <c r="BG47" s="482">
        <f t="shared" si="23"/>
        <v>0</v>
      </c>
      <c r="BH47" s="482">
        <f t="shared" si="23"/>
        <v>0</v>
      </c>
      <c r="BI47" s="482">
        <f t="shared" si="23"/>
        <v>0</v>
      </c>
      <c r="BJ47" s="482">
        <f t="shared" si="23"/>
        <v>0</v>
      </c>
      <c r="BK47" s="482">
        <f t="shared" si="23"/>
        <v>0</v>
      </c>
      <c r="BL47" s="482">
        <f t="shared" si="23"/>
        <v>0</v>
      </c>
      <c r="BM47" s="482">
        <f t="shared" si="23"/>
        <v>0</v>
      </c>
      <c r="BN47" s="482">
        <f t="shared" si="23"/>
        <v>0</v>
      </c>
      <c r="BO47" s="482">
        <f t="shared" si="23"/>
        <v>0</v>
      </c>
      <c r="BP47" s="482">
        <f t="shared" si="23"/>
        <v>0</v>
      </c>
      <c r="BQ47" s="482">
        <f t="shared" si="23"/>
        <v>0</v>
      </c>
      <c r="BR47" s="482">
        <f t="shared" si="23"/>
        <v>0</v>
      </c>
      <c r="BS47" s="482">
        <f t="shared" si="23"/>
        <v>0</v>
      </c>
      <c r="BT47" s="482">
        <f t="shared" si="23"/>
        <v>0</v>
      </c>
      <c r="BU47" s="482">
        <f t="shared" si="23"/>
        <v>0</v>
      </c>
      <c r="BV47" s="482">
        <f t="shared" si="23"/>
        <v>0</v>
      </c>
      <c r="BW47" s="482">
        <f t="shared" si="23"/>
        <v>0</v>
      </c>
      <c r="BX47" s="482">
        <f t="shared" si="23"/>
        <v>0</v>
      </c>
      <c r="BY47" s="482">
        <f t="shared" si="23"/>
        <v>0</v>
      </c>
      <c r="BZ47" s="482">
        <f t="shared" si="23"/>
        <v>0</v>
      </c>
      <c r="CA47" s="482">
        <f t="shared" si="23"/>
        <v>0</v>
      </c>
      <c r="CB47" s="482">
        <f t="shared" si="23"/>
        <v>0</v>
      </c>
      <c r="CC47" s="482">
        <f t="shared" si="23"/>
        <v>0</v>
      </c>
      <c r="CD47" s="482">
        <f t="shared" si="23"/>
        <v>0</v>
      </c>
      <c r="CE47" s="482">
        <f t="shared" si="23"/>
        <v>0</v>
      </c>
      <c r="CF47" s="482">
        <f t="shared" si="23"/>
        <v>0</v>
      </c>
      <c r="CG47" s="482">
        <f t="shared" si="23"/>
        <v>0</v>
      </c>
      <c r="CH47" s="482">
        <f t="shared" si="23"/>
        <v>0</v>
      </c>
      <c r="CI47" s="482">
        <f t="shared" si="23"/>
        <v>0</v>
      </c>
      <c r="CJ47" s="482">
        <f t="shared" si="23"/>
        <v>0</v>
      </c>
      <c r="CK47" s="482">
        <f t="shared" si="23"/>
        <v>0</v>
      </c>
      <c r="CL47" s="482">
        <f t="shared" si="23"/>
        <v>0</v>
      </c>
      <c r="CM47" s="482">
        <f t="shared" si="23"/>
        <v>0</v>
      </c>
      <c r="CN47" s="482">
        <f t="shared" si="23"/>
        <v>0</v>
      </c>
      <c r="CO47" s="482">
        <f t="shared" si="23"/>
        <v>0</v>
      </c>
      <c r="CP47" s="482">
        <f t="shared" si="23"/>
        <v>0</v>
      </c>
      <c r="CQ47" s="482">
        <f t="shared" si="23"/>
        <v>0</v>
      </c>
      <c r="CR47" s="482">
        <f t="shared" si="23"/>
        <v>0</v>
      </c>
      <c r="CS47" s="482">
        <f t="shared" si="23"/>
        <v>0</v>
      </c>
      <c r="CT47" s="482">
        <f t="shared" si="23"/>
        <v>0</v>
      </c>
      <c r="CU47" s="482">
        <f t="shared" si="23"/>
        <v>0</v>
      </c>
      <c r="CV47" s="482">
        <f t="shared" si="23"/>
        <v>0</v>
      </c>
      <c r="CW47" s="482">
        <f t="shared" si="23"/>
        <v>0</v>
      </c>
      <c r="CX47" s="482">
        <f t="shared" si="23"/>
        <v>0</v>
      </c>
      <c r="CY47" s="482">
        <f t="shared" si="23"/>
        <v>0</v>
      </c>
      <c r="CZ47" s="482">
        <f t="shared" ref="CZ47:FK47" si="24">CZ15-CZ46</f>
        <v>0</v>
      </c>
      <c r="DA47" s="482">
        <f t="shared" si="24"/>
        <v>0</v>
      </c>
      <c r="DB47" s="482">
        <f t="shared" si="24"/>
        <v>0</v>
      </c>
      <c r="DC47" s="482">
        <f t="shared" si="24"/>
        <v>0</v>
      </c>
      <c r="DD47" s="482">
        <f t="shared" si="24"/>
        <v>0</v>
      </c>
      <c r="DE47" s="482">
        <f t="shared" si="24"/>
        <v>0</v>
      </c>
      <c r="DF47" s="482">
        <f t="shared" si="24"/>
        <v>0</v>
      </c>
      <c r="DG47" s="482">
        <f t="shared" si="24"/>
        <v>0</v>
      </c>
      <c r="DH47" s="482">
        <f t="shared" si="24"/>
        <v>0</v>
      </c>
      <c r="DI47" s="482">
        <f t="shared" si="24"/>
        <v>0</v>
      </c>
      <c r="DJ47" s="482">
        <f t="shared" si="24"/>
        <v>0</v>
      </c>
      <c r="DK47" s="482">
        <f t="shared" si="24"/>
        <v>0</v>
      </c>
      <c r="DL47" s="482">
        <f t="shared" si="24"/>
        <v>0</v>
      </c>
      <c r="DM47" s="482">
        <f t="shared" si="24"/>
        <v>0</v>
      </c>
      <c r="DN47" s="482">
        <f t="shared" si="24"/>
        <v>0</v>
      </c>
      <c r="DO47" s="482">
        <f t="shared" si="24"/>
        <v>0</v>
      </c>
      <c r="DP47" s="482">
        <f t="shared" si="24"/>
        <v>0</v>
      </c>
      <c r="DQ47" s="482">
        <f t="shared" si="24"/>
        <v>0</v>
      </c>
      <c r="DR47" s="482">
        <f t="shared" si="24"/>
        <v>0</v>
      </c>
      <c r="DS47" s="482">
        <f t="shared" si="24"/>
        <v>0</v>
      </c>
      <c r="DT47" s="482">
        <f t="shared" si="24"/>
        <v>0</v>
      </c>
      <c r="DU47" s="482">
        <f t="shared" si="24"/>
        <v>0</v>
      </c>
      <c r="DV47" s="482">
        <f t="shared" si="24"/>
        <v>0</v>
      </c>
      <c r="DW47" s="482">
        <f t="shared" si="24"/>
        <v>0</v>
      </c>
      <c r="DX47" s="482">
        <f t="shared" si="24"/>
        <v>0</v>
      </c>
      <c r="DY47" s="482">
        <f t="shared" si="24"/>
        <v>0</v>
      </c>
      <c r="DZ47" s="482">
        <f t="shared" si="24"/>
        <v>0</v>
      </c>
      <c r="EA47" s="482">
        <f t="shared" si="24"/>
        <v>0</v>
      </c>
      <c r="EB47" s="482">
        <f t="shared" si="24"/>
        <v>0</v>
      </c>
      <c r="EC47" s="482">
        <f t="shared" si="24"/>
        <v>0</v>
      </c>
      <c r="ED47" s="482">
        <f t="shared" si="24"/>
        <v>0</v>
      </c>
      <c r="EE47" s="482">
        <f t="shared" si="24"/>
        <v>0</v>
      </c>
      <c r="EF47" s="482">
        <f t="shared" si="24"/>
        <v>0</v>
      </c>
      <c r="EG47" s="482">
        <f t="shared" si="24"/>
        <v>0</v>
      </c>
      <c r="EH47" s="482">
        <f t="shared" si="24"/>
        <v>0</v>
      </c>
      <c r="EI47" s="482">
        <f t="shared" si="24"/>
        <v>0</v>
      </c>
      <c r="EJ47" s="482">
        <f t="shared" si="24"/>
        <v>0</v>
      </c>
      <c r="EK47" s="482">
        <f t="shared" si="24"/>
        <v>0</v>
      </c>
      <c r="EL47" s="482">
        <f t="shared" si="24"/>
        <v>0</v>
      </c>
      <c r="EM47" s="482">
        <f t="shared" si="24"/>
        <v>0</v>
      </c>
      <c r="EN47" s="482">
        <f t="shared" si="24"/>
        <v>0</v>
      </c>
      <c r="EO47" s="482">
        <f t="shared" si="24"/>
        <v>0</v>
      </c>
      <c r="EP47" s="482">
        <f t="shared" si="24"/>
        <v>0</v>
      </c>
      <c r="EQ47" s="482">
        <f t="shared" si="24"/>
        <v>0</v>
      </c>
      <c r="ER47" s="482">
        <f t="shared" si="24"/>
        <v>0</v>
      </c>
      <c r="ES47" s="482">
        <f t="shared" si="24"/>
        <v>0</v>
      </c>
      <c r="ET47" s="482">
        <f t="shared" si="24"/>
        <v>0</v>
      </c>
      <c r="EU47" s="482">
        <f t="shared" si="24"/>
        <v>0</v>
      </c>
      <c r="EV47" s="482">
        <f t="shared" si="24"/>
        <v>0</v>
      </c>
      <c r="EW47" s="482">
        <f t="shared" si="24"/>
        <v>0</v>
      </c>
      <c r="EX47" s="482">
        <f t="shared" si="24"/>
        <v>0</v>
      </c>
      <c r="EY47" s="482">
        <f t="shared" si="24"/>
        <v>0</v>
      </c>
      <c r="EZ47" s="482">
        <f t="shared" si="24"/>
        <v>0</v>
      </c>
      <c r="FA47" s="482">
        <f t="shared" si="24"/>
        <v>0</v>
      </c>
      <c r="FB47" s="482">
        <f t="shared" si="24"/>
        <v>0</v>
      </c>
      <c r="FC47" s="482">
        <f t="shared" si="24"/>
        <v>0</v>
      </c>
      <c r="FD47" s="482">
        <f t="shared" si="24"/>
        <v>0</v>
      </c>
      <c r="FE47" s="482">
        <f t="shared" si="24"/>
        <v>0</v>
      </c>
      <c r="FF47" s="482">
        <f t="shared" si="24"/>
        <v>0</v>
      </c>
      <c r="FG47" s="482">
        <f t="shared" si="24"/>
        <v>0</v>
      </c>
      <c r="FH47" s="482">
        <f t="shared" si="24"/>
        <v>0</v>
      </c>
      <c r="FI47" s="482">
        <f t="shared" si="24"/>
        <v>0</v>
      </c>
      <c r="FJ47" s="482">
        <f t="shared" si="24"/>
        <v>0</v>
      </c>
      <c r="FK47" s="482">
        <f t="shared" si="24"/>
        <v>0</v>
      </c>
      <c r="FL47" s="482">
        <f t="shared" ref="FL47:HW47" si="25">FL15-FL46</f>
        <v>0</v>
      </c>
      <c r="FM47" s="482">
        <f t="shared" si="25"/>
        <v>0</v>
      </c>
      <c r="FN47" s="482">
        <f t="shared" si="25"/>
        <v>0</v>
      </c>
      <c r="FO47" s="482">
        <f t="shared" si="25"/>
        <v>0</v>
      </c>
      <c r="FP47" s="482">
        <f t="shared" si="25"/>
        <v>0</v>
      </c>
      <c r="FQ47" s="482">
        <f t="shared" si="25"/>
        <v>0</v>
      </c>
      <c r="FR47" s="482">
        <f t="shared" si="25"/>
        <v>0</v>
      </c>
      <c r="FS47" s="482">
        <f t="shared" si="25"/>
        <v>0</v>
      </c>
      <c r="FT47" s="482">
        <f t="shared" si="25"/>
        <v>0</v>
      </c>
      <c r="FU47" s="482">
        <f t="shared" si="25"/>
        <v>0</v>
      </c>
      <c r="FV47" s="482">
        <f t="shared" si="25"/>
        <v>0</v>
      </c>
      <c r="FW47" s="482">
        <f t="shared" si="25"/>
        <v>0</v>
      </c>
      <c r="FX47" s="482">
        <f t="shared" si="25"/>
        <v>0</v>
      </c>
      <c r="FY47" s="482">
        <f t="shared" si="25"/>
        <v>0</v>
      </c>
      <c r="FZ47" s="482">
        <f t="shared" si="25"/>
        <v>0</v>
      </c>
      <c r="GA47" s="482">
        <f t="shared" si="25"/>
        <v>0</v>
      </c>
      <c r="GB47" s="482">
        <f t="shared" si="25"/>
        <v>0</v>
      </c>
      <c r="GC47" s="482">
        <f t="shared" si="25"/>
        <v>0</v>
      </c>
      <c r="GD47" s="482">
        <f t="shared" si="25"/>
        <v>0</v>
      </c>
      <c r="GE47" s="482">
        <f t="shared" si="25"/>
        <v>0</v>
      </c>
      <c r="GF47" s="482">
        <f t="shared" si="25"/>
        <v>0</v>
      </c>
      <c r="GG47" s="482">
        <f t="shared" si="25"/>
        <v>0</v>
      </c>
      <c r="GH47" s="482">
        <f t="shared" si="25"/>
        <v>0</v>
      </c>
      <c r="GI47" s="482">
        <f t="shared" si="25"/>
        <v>0</v>
      </c>
      <c r="GJ47" s="482">
        <f t="shared" si="25"/>
        <v>0</v>
      </c>
      <c r="GK47" s="482">
        <f t="shared" si="25"/>
        <v>0</v>
      </c>
      <c r="GL47" s="482">
        <f t="shared" si="25"/>
        <v>0</v>
      </c>
      <c r="GM47" s="482">
        <f t="shared" si="25"/>
        <v>0</v>
      </c>
      <c r="GN47" s="482">
        <f t="shared" si="25"/>
        <v>0</v>
      </c>
      <c r="GO47" s="482">
        <f t="shared" si="25"/>
        <v>0</v>
      </c>
      <c r="GP47" s="482">
        <f t="shared" si="25"/>
        <v>0</v>
      </c>
      <c r="GQ47" s="482">
        <f t="shared" si="25"/>
        <v>0</v>
      </c>
      <c r="GR47" s="482">
        <f t="shared" si="25"/>
        <v>0</v>
      </c>
      <c r="GS47" s="482">
        <f t="shared" si="25"/>
        <v>0</v>
      </c>
      <c r="GT47" s="482">
        <f t="shared" si="25"/>
        <v>0</v>
      </c>
      <c r="GU47" s="482">
        <f t="shared" si="25"/>
        <v>0</v>
      </c>
      <c r="GV47" s="482">
        <f t="shared" si="25"/>
        <v>0</v>
      </c>
      <c r="GW47" s="482">
        <f t="shared" si="25"/>
        <v>0</v>
      </c>
      <c r="GX47" s="482">
        <f t="shared" si="25"/>
        <v>0</v>
      </c>
      <c r="GY47" s="482">
        <f t="shared" si="25"/>
        <v>0</v>
      </c>
      <c r="GZ47" s="482">
        <f t="shared" si="25"/>
        <v>0</v>
      </c>
      <c r="HA47" s="482">
        <f t="shared" si="25"/>
        <v>0</v>
      </c>
      <c r="HB47" s="482">
        <f t="shared" si="25"/>
        <v>0</v>
      </c>
      <c r="HC47" s="482">
        <f t="shared" si="25"/>
        <v>0</v>
      </c>
      <c r="HD47" s="482">
        <f t="shared" si="25"/>
        <v>0</v>
      </c>
      <c r="HE47" s="482">
        <f t="shared" si="25"/>
        <v>0</v>
      </c>
      <c r="HF47" s="482">
        <f t="shared" si="25"/>
        <v>0</v>
      </c>
      <c r="HG47" s="482">
        <f t="shared" si="25"/>
        <v>0</v>
      </c>
      <c r="HH47" s="482">
        <f t="shared" si="25"/>
        <v>0</v>
      </c>
      <c r="HI47" s="482">
        <f t="shared" si="25"/>
        <v>0</v>
      </c>
      <c r="HJ47" s="482">
        <f t="shared" si="25"/>
        <v>0</v>
      </c>
      <c r="HK47" s="482">
        <f t="shared" si="25"/>
        <v>0</v>
      </c>
      <c r="HL47" s="482">
        <f t="shared" si="25"/>
        <v>0</v>
      </c>
      <c r="HM47" s="482">
        <f t="shared" si="25"/>
        <v>0</v>
      </c>
      <c r="HN47" s="482">
        <f t="shared" si="25"/>
        <v>0</v>
      </c>
      <c r="HO47" s="482">
        <f t="shared" si="25"/>
        <v>0</v>
      </c>
      <c r="HP47" s="482">
        <f t="shared" si="25"/>
        <v>0</v>
      </c>
      <c r="HQ47" s="482">
        <f t="shared" si="25"/>
        <v>0</v>
      </c>
      <c r="HR47" s="482">
        <f t="shared" si="25"/>
        <v>0</v>
      </c>
      <c r="HS47" s="482">
        <f t="shared" si="25"/>
        <v>0</v>
      </c>
      <c r="HT47" s="482">
        <f t="shared" si="25"/>
        <v>0</v>
      </c>
      <c r="HU47" s="482">
        <f t="shared" si="25"/>
        <v>0</v>
      </c>
      <c r="HV47" s="482">
        <f t="shared" si="25"/>
        <v>0</v>
      </c>
      <c r="HW47" s="482">
        <f t="shared" si="25"/>
        <v>0</v>
      </c>
      <c r="HX47" s="482">
        <f t="shared" ref="HX47:IT47" si="26">HX15-HX46</f>
        <v>0</v>
      </c>
      <c r="HY47" s="482">
        <f t="shared" si="26"/>
        <v>0</v>
      </c>
      <c r="HZ47" s="482">
        <f t="shared" si="26"/>
        <v>0</v>
      </c>
      <c r="IA47" s="482">
        <f t="shared" si="26"/>
        <v>0</v>
      </c>
      <c r="IB47" s="482">
        <f t="shared" si="26"/>
        <v>0</v>
      </c>
      <c r="IC47" s="482">
        <f t="shared" si="26"/>
        <v>0</v>
      </c>
      <c r="ID47" s="482">
        <f t="shared" si="26"/>
        <v>0</v>
      </c>
      <c r="IE47" s="482">
        <f t="shared" si="26"/>
        <v>0</v>
      </c>
      <c r="IF47" s="482">
        <f t="shared" si="26"/>
        <v>0</v>
      </c>
      <c r="IG47" s="482">
        <f t="shared" si="26"/>
        <v>0</v>
      </c>
      <c r="IH47" s="482">
        <f t="shared" si="26"/>
        <v>0</v>
      </c>
      <c r="II47" s="482">
        <f t="shared" si="26"/>
        <v>0</v>
      </c>
      <c r="IJ47" s="482">
        <f t="shared" si="26"/>
        <v>0</v>
      </c>
      <c r="IK47" s="482">
        <f t="shared" si="26"/>
        <v>0</v>
      </c>
      <c r="IL47" s="482">
        <f t="shared" si="26"/>
        <v>0</v>
      </c>
      <c r="IM47" s="482">
        <f t="shared" si="26"/>
        <v>0</v>
      </c>
      <c r="IN47" s="482">
        <f t="shared" si="26"/>
        <v>0</v>
      </c>
      <c r="IO47" s="482">
        <f t="shared" si="26"/>
        <v>0</v>
      </c>
      <c r="IP47" s="482">
        <f t="shared" si="26"/>
        <v>0</v>
      </c>
      <c r="IQ47" s="482">
        <f t="shared" si="26"/>
        <v>0</v>
      </c>
      <c r="IR47" s="482">
        <f t="shared" si="26"/>
        <v>0</v>
      </c>
      <c r="IS47" s="482">
        <f t="shared" si="26"/>
        <v>0</v>
      </c>
      <c r="IT47" s="482">
        <f t="shared" si="26"/>
        <v>0</v>
      </c>
    </row>
    <row r="48" spans="1:254" s="483" customFormat="1" ht="20.25" customHeight="1">
      <c r="A48" s="313" t="s">
        <v>129</v>
      </c>
      <c r="B48" s="481"/>
      <c r="C48" s="484"/>
      <c r="D48" s="315">
        <f>-TB!G54</f>
        <v>303.8648</v>
      </c>
      <c r="E48" s="481"/>
      <c r="F48" s="282">
        <f>D48</f>
        <v>303.8648</v>
      </c>
      <c r="G48" s="484"/>
      <c r="H48" s="315">
        <f>-TB!M54</f>
        <v>407.54</v>
      </c>
      <c r="I48" s="481"/>
      <c r="J48" s="307">
        <f>F48+H48</f>
        <v>711.40480000000002</v>
      </c>
      <c r="K48" s="484"/>
      <c r="L48" s="315">
        <f>-TB!S54</f>
        <v>535.88</v>
      </c>
      <c r="M48" s="481"/>
      <c r="N48" s="307">
        <f>J48+L48</f>
        <v>1247.2847999999999</v>
      </c>
      <c r="O48" s="484"/>
      <c r="P48" s="315">
        <f>-TB!Y54</f>
        <v>540.84</v>
      </c>
      <c r="Q48" s="481"/>
      <c r="R48" s="307">
        <f>N48+P48</f>
        <v>1788.1248000000001</v>
      </c>
      <c r="S48" s="484"/>
      <c r="T48" s="315">
        <f>-TB!AE54</f>
        <v>524.58640000000003</v>
      </c>
      <c r="U48" s="484"/>
      <c r="V48" s="307">
        <f>R48+T48</f>
        <v>2312.7112000000002</v>
      </c>
      <c r="W48" s="484"/>
      <c r="X48" s="315">
        <f>-TB!AQ54</f>
        <v>0</v>
      </c>
      <c r="Y48" s="484"/>
      <c r="Z48" s="307">
        <f>V48+X48</f>
        <v>2312.7112000000002</v>
      </c>
      <c r="AA48" s="484"/>
      <c r="AB48" s="315">
        <f>-TB!AW54</f>
        <v>0</v>
      </c>
      <c r="AC48" s="484"/>
      <c r="AD48" s="307">
        <f>Z48+AB48</f>
        <v>2312.7112000000002</v>
      </c>
      <c r="AE48" s="485"/>
      <c r="AF48" s="315">
        <f>-TB!BC54</f>
        <v>0</v>
      </c>
      <c r="AG48" s="484"/>
      <c r="AH48" s="307">
        <f>AD48+AF48</f>
        <v>2312.7112000000002</v>
      </c>
      <c r="AI48" s="486"/>
      <c r="AJ48" s="315">
        <f>-TB!BI54</f>
        <v>0</v>
      </c>
      <c r="AK48" s="484"/>
      <c r="AL48" s="307">
        <f>AH48+AJ48</f>
        <v>2312.7112000000002</v>
      </c>
      <c r="AM48" s="486"/>
      <c r="AN48" s="307">
        <f>-TB!BO54</f>
        <v>0</v>
      </c>
      <c r="AO48" s="484"/>
      <c r="AP48" s="307">
        <f>AL48+AN48</f>
        <v>2312.7112000000002</v>
      </c>
      <c r="AQ48" s="486"/>
      <c r="AR48" s="315">
        <f>-TB!BU54</f>
        <v>0</v>
      </c>
      <c r="AS48" s="484"/>
      <c r="AT48" s="307">
        <f>AP48+AR48</f>
        <v>2312.7112000000002</v>
      </c>
      <c r="AV48" s="307">
        <f>AR48+AT48</f>
        <v>2312.7112000000002</v>
      </c>
      <c r="AW48" s="307">
        <f>AS48+AU48</f>
        <v>0</v>
      </c>
    </row>
    <row r="49" spans="1:254" s="139" customFormat="1" ht="20.25" hidden="1" customHeight="1">
      <c r="A49" s="286" t="s">
        <v>313</v>
      </c>
      <c r="B49" s="287"/>
      <c r="C49" s="302"/>
      <c r="D49" s="302">
        <f>-TB!G87</f>
        <v>0</v>
      </c>
      <c r="E49" s="288"/>
      <c r="F49" s="282">
        <f>D49</f>
        <v>0</v>
      </c>
      <c r="G49" s="302"/>
      <c r="H49" s="302">
        <f>-TB!M87</f>
        <v>0</v>
      </c>
      <c r="I49" s="288"/>
      <c r="J49" s="289">
        <f>F49+H49</f>
        <v>0</v>
      </c>
      <c r="K49" s="302"/>
      <c r="L49" s="302">
        <f>-TB!Y87</f>
        <v>0</v>
      </c>
      <c r="M49" s="288"/>
      <c r="N49" s="289">
        <f>J49+L49</f>
        <v>0</v>
      </c>
      <c r="O49" s="302"/>
      <c r="P49" s="302">
        <f>-TB!Y87</f>
        <v>0</v>
      </c>
      <c r="Q49" s="288"/>
      <c r="R49" s="289">
        <f>N49+P49</f>
        <v>0</v>
      </c>
      <c r="S49" s="302"/>
      <c r="T49" s="302">
        <f>-TB!AE87</f>
        <v>0</v>
      </c>
      <c r="U49" s="289"/>
      <c r="V49" s="289">
        <f>R49+T49</f>
        <v>0</v>
      </c>
      <c r="W49" s="302"/>
      <c r="X49" s="302">
        <f>-TB!AG87</f>
        <v>0</v>
      </c>
      <c r="Y49" s="302"/>
      <c r="Z49" s="289">
        <f>V49+X49</f>
        <v>0</v>
      </c>
      <c r="AA49" s="302"/>
      <c r="AB49" s="302">
        <f>-TB!AK87</f>
        <v>0</v>
      </c>
      <c r="AC49" s="302"/>
      <c r="AD49" s="289">
        <f>Z49+AB49</f>
        <v>0</v>
      </c>
      <c r="AE49" s="210"/>
      <c r="AF49" s="302">
        <f>-TB!BC87</f>
        <v>0</v>
      </c>
      <c r="AG49" s="302"/>
      <c r="AH49" s="289">
        <f>AD49+AF49</f>
        <v>0</v>
      </c>
      <c r="AI49" s="451"/>
      <c r="AJ49" s="302">
        <f>-TB!BI87</f>
        <v>0</v>
      </c>
      <c r="AK49" s="302"/>
      <c r="AL49" s="289">
        <f>AH49+AJ49</f>
        <v>0</v>
      </c>
      <c r="AM49" s="451"/>
      <c r="AN49" s="302">
        <f>-TB!BO87</f>
        <v>0</v>
      </c>
      <c r="AO49" s="302"/>
      <c r="AP49" s="289">
        <f>AL49+AN49</f>
        <v>0</v>
      </c>
      <c r="AQ49" s="451"/>
      <c r="AR49" s="302">
        <f>-TB!BU87</f>
        <v>0</v>
      </c>
      <c r="AS49" s="302"/>
      <c r="AT49" s="289">
        <f>AP49+AR49</f>
        <v>0</v>
      </c>
      <c r="AV49" s="289">
        <f>AR49+AT49</f>
        <v>0</v>
      </c>
      <c r="AW49" s="289">
        <f>AS49+AU49</f>
        <v>0</v>
      </c>
    </row>
    <row r="50" spans="1:254" s="144" customFormat="1" ht="20.25" customHeight="1" thickBot="1">
      <c r="A50" s="303" t="s">
        <v>57</v>
      </c>
      <c r="B50" s="304"/>
      <c r="C50" s="304">
        <f>C47+C14+C48+C49</f>
        <v>0</v>
      </c>
      <c r="D50" s="304">
        <f>D47+D48+D49</f>
        <v>-111351.16099547628</v>
      </c>
      <c r="E50" s="304">
        <f t="shared" ref="E50:N50" si="27">E47+E48+E49</f>
        <v>0</v>
      </c>
      <c r="F50" s="304">
        <f t="shared" si="27"/>
        <v>-111351.16099547628</v>
      </c>
      <c r="G50" s="304">
        <f t="shared" si="27"/>
        <v>0</v>
      </c>
      <c r="H50" s="304">
        <f t="shared" si="27"/>
        <v>167860.25114404762</v>
      </c>
      <c r="I50" s="304">
        <f t="shared" si="27"/>
        <v>0</v>
      </c>
      <c r="J50" s="304">
        <f>J47+J48+J49</f>
        <v>72991.170148571357</v>
      </c>
      <c r="K50" s="304">
        <f t="shared" si="27"/>
        <v>0</v>
      </c>
      <c r="L50" s="304">
        <f t="shared" si="27"/>
        <v>217868.1521740476</v>
      </c>
      <c r="M50" s="304">
        <f t="shared" si="27"/>
        <v>0</v>
      </c>
      <c r="N50" s="304">
        <f t="shared" si="27"/>
        <v>290859.32232261868</v>
      </c>
      <c r="O50" s="304">
        <f t="shared" ref="O50:AL50" si="28">O47+O14+O48+O49</f>
        <v>0</v>
      </c>
      <c r="P50" s="304">
        <f t="shared" si="28"/>
        <v>-117665.33159023829</v>
      </c>
      <c r="Q50" s="304">
        <f t="shared" si="28"/>
        <v>0</v>
      </c>
      <c r="R50" s="304">
        <f t="shared" si="28"/>
        <v>173193.99073238039</v>
      </c>
      <c r="S50" s="304">
        <f t="shared" si="28"/>
        <v>0</v>
      </c>
      <c r="T50" s="304">
        <f t="shared" si="28"/>
        <v>-227913.41187309544</v>
      </c>
      <c r="U50" s="304">
        <f t="shared" si="28"/>
        <v>0</v>
      </c>
      <c r="V50" s="304">
        <f t="shared" si="28"/>
        <v>-54719.421140714672</v>
      </c>
      <c r="W50" s="304" t="e">
        <f t="shared" si="28"/>
        <v>#VALUE!</v>
      </c>
      <c r="X50" s="304">
        <f t="shared" si="28"/>
        <v>0</v>
      </c>
      <c r="Y50" s="304" t="e">
        <f t="shared" si="28"/>
        <v>#VALUE!</v>
      </c>
      <c r="Z50" s="304">
        <f t="shared" si="28"/>
        <v>-54719.421140714672</v>
      </c>
      <c r="AA50" s="304" t="e">
        <f t="shared" si="28"/>
        <v>#VALUE!</v>
      </c>
      <c r="AB50" s="304">
        <f t="shared" si="28"/>
        <v>0</v>
      </c>
      <c r="AC50" s="304">
        <f t="shared" si="28"/>
        <v>0</v>
      </c>
      <c r="AD50" s="304">
        <f t="shared" si="28"/>
        <v>-54719.421140714672</v>
      </c>
      <c r="AE50" s="304">
        <f t="shared" si="28"/>
        <v>0</v>
      </c>
      <c r="AF50" s="304">
        <f t="shared" si="28"/>
        <v>0</v>
      </c>
      <c r="AG50" s="304">
        <f t="shared" si="28"/>
        <v>0</v>
      </c>
      <c r="AH50" s="304">
        <f t="shared" si="28"/>
        <v>-54719.421140714672</v>
      </c>
      <c r="AI50" s="304">
        <f t="shared" si="28"/>
        <v>0</v>
      </c>
      <c r="AJ50" s="304">
        <f t="shared" si="28"/>
        <v>0</v>
      </c>
      <c r="AK50" s="304">
        <f t="shared" si="28"/>
        <v>0</v>
      </c>
      <c r="AL50" s="304">
        <f t="shared" si="28"/>
        <v>-54719.421140714672</v>
      </c>
      <c r="AM50" s="304"/>
      <c r="AN50" s="304">
        <f t="shared" ref="AN50:CY50" si="29">AN47+AN14+AN48+AN49</f>
        <v>0</v>
      </c>
      <c r="AO50" s="304">
        <f t="shared" si="29"/>
        <v>0</v>
      </c>
      <c r="AP50" s="304">
        <f t="shared" si="29"/>
        <v>-54719.421140714672</v>
      </c>
      <c r="AQ50" s="304">
        <f t="shared" si="29"/>
        <v>0</v>
      </c>
      <c r="AR50" s="304">
        <f t="shared" si="29"/>
        <v>0</v>
      </c>
      <c r="AS50" s="304">
        <f t="shared" si="29"/>
        <v>0</v>
      </c>
      <c r="AT50" s="304">
        <f t="shared" si="29"/>
        <v>-54719.421140714672</v>
      </c>
      <c r="AU50" s="304" t="e">
        <f t="shared" si="29"/>
        <v>#REF!</v>
      </c>
      <c r="AV50" s="304">
        <f t="shared" si="29"/>
        <v>-54719.421140714672</v>
      </c>
      <c r="AW50" s="304" t="e">
        <f t="shared" si="29"/>
        <v>#VALUE!</v>
      </c>
      <c r="AX50" s="304">
        <f t="shared" si="29"/>
        <v>0</v>
      </c>
      <c r="AY50" s="304">
        <f t="shared" si="29"/>
        <v>0</v>
      </c>
      <c r="AZ50" s="304">
        <f t="shared" si="29"/>
        <v>0</v>
      </c>
      <c r="BA50" s="304">
        <f t="shared" si="29"/>
        <v>0</v>
      </c>
      <c r="BB50" s="304">
        <f t="shared" si="29"/>
        <v>0</v>
      </c>
      <c r="BC50" s="304">
        <f t="shared" si="29"/>
        <v>0</v>
      </c>
      <c r="BD50" s="304">
        <f t="shared" si="29"/>
        <v>0</v>
      </c>
      <c r="BE50" s="304">
        <f t="shared" si="29"/>
        <v>0</v>
      </c>
      <c r="BF50" s="304">
        <f t="shared" si="29"/>
        <v>0</v>
      </c>
      <c r="BG50" s="304">
        <f t="shared" si="29"/>
        <v>0</v>
      </c>
      <c r="BH50" s="304">
        <f t="shared" si="29"/>
        <v>0</v>
      </c>
      <c r="BI50" s="304">
        <f t="shared" si="29"/>
        <v>0</v>
      </c>
      <c r="BJ50" s="304">
        <f t="shared" si="29"/>
        <v>0</v>
      </c>
      <c r="BK50" s="304">
        <f t="shared" si="29"/>
        <v>0</v>
      </c>
      <c r="BL50" s="304">
        <f t="shared" si="29"/>
        <v>0</v>
      </c>
      <c r="BM50" s="304">
        <f t="shared" si="29"/>
        <v>0</v>
      </c>
      <c r="BN50" s="304">
        <f t="shared" si="29"/>
        <v>0</v>
      </c>
      <c r="BO50" s="304">
        <f t="shared" si="29"/>
        <v>0</v>
      </c>
      <c r="BP50" s="304">
        <f t="shared" si="29"/>
        <v>0</v>
      </c>
      <c r="BQ50" s="304">
        <f t="shared" si="29"/>
        <v>0</v>
      </c>
      <c r="BR50" s="304">
        <f t="shared" si="29"/>
        <v>0</v>
      </c>
      <c r="BS50" s="304">
        <f t="shared" si="29"/>
        <v>0</v>
      </c>
      <c r="BT50" s="304">
        <f t="shared" si="29"/>
        <v>0</v>
      </c>
      <c r="BU50" s="304">
        <f t="shared" si="29"/>
        <v>0</v>
      </c>
      <c r="BV50" s="304">
        <f t="shared" si="29"/>
        <v>0</v>
      </c>
      <c r="BW50" s="304">
        <f t="shared" si="29"/>
        <v>0</v>
      </c>
      <c r="BX50" s="304">
        <f t="shared" si="29"/>
        <v>0</v>
      </c>
      <c r="BY50" s="304">
        <f t="shared" si="29"/>
        <v>0</v>
      </c>
      <c r="BZ50" s="304">
        <f t="shared" si="29"/>
        <v>0</v>
      </c>
      <c r="CA50" s="304">
        <f t="shared" si="29"/>
        <v>0</v>
      </c>
      <c r="CB50" s="304">
        <f t="shared" si="29"/>
        <v>0</v>
      </c>
      <c r="CC50" s="304">
        <f t="shared" si="29"/>
        <v>0</v>
      </c>
      <c r="CD50" s="304">
        <f t="shared" si="29"/>
        <v>0</v>
      </c>
      <c r="CE50" s="304">
        <f t="shared" si="29"/>
        <v>0</v>
      </c>
      <c r="CF50" s="304">
        <f t="shared" si="29"/>
        <v>0</v>
      </c>
      <c r="CG50" s="304">
        <f t="shared" si="29"/>
        <v>0</v>
      </c>
      <c r="CH50" s="304">
        <f t="shared" si="29"/>
        <v>0</v>
      </c>
      <c r="CI50" s="304">
        <f t="shared" si="29"/>
        <v>0</v>
      </c>
      <c r="CJ50" s="304">
        <f t="shared" si="29"/>
        <v>0</v>
      </c>
      <c r="CK50" s="304">
        <f t="shared" si="29"/>
        <v>0</v>
      </c>
      <c r="CL50" s="304">
        <f t="shared" si="29"/>
        <v>0</v>
      </c>
      <c r="CM50" s="304">
        <f t="shared" si="29"/>
        <v>0</v>
      </c>
      <c r="CN50" s="304">
        <f t="shared" si="29"/>
        <v>0</v>
      </c>
      <c r="CO50" s="304">
        <f t="shared" si="29"/>
        <v>0</v>
      </c>
      <c r="CP50" s="304">
        <f t="shared" si="29"/>
        <v>0</v>
      </c>
      <c r="CQ50" s="304">
        <f t="shared" si="29"/>
        <v>0</v>
      </c>
      <c r="CR50" s="304">
        <f t="shared" si="29"/>
        <v>0</v>
      </c>
      <c r="CS50" s="304">
        <f t="shared" si="29"/>
        <v>0</v>
      </c>
      <c r="CT50" s="304">
        <f t="shared" si="29"/>
        <v>0</v>
      </c>
      <c r="CU50" s="304">
        <f t="shared" si="29"/>
        <v>0</v>
      </c>
      <c r="CV50" s="304">
        <f t="shared" si="29"/>
        <v>0</v>
      </c>
      <c r="CW50" s="304">
        <f t="shared" si="29"/>
        <v>0</v>
      </c>
      <c r="CX50" s="304">
        <f t="shared" si="29"/>
        <v>0</v>
      </c>
      <c r="CY50" s="304">
        <f t="shared" si="29"/>
        <v>0</v>
      </c>
      <c r="CZ50" s="304">
        <f t="shared" ref="CZ50:FK50" si="30">CZ47+CZ14+CZ48+CZ49</f>
        <v>0</v>
      </c>
      <c r="DA50" s="304">
        <f t="shared" si="30"/>
        <v>0</v>
      </c>
      <c r="DB50" s="304">
        <f t="shared" si="30"/>
        <v>0</v>
      </c>
      <c r="DC50" s="304">
        <f t="shared" si="30"/>
        <v>0</v>
      </c>
      <c r="DD50" s="304">
        <f t="shared" si="30"/>
        <v>0</v>
      </c>
      <c r="DE50" s="304">
        <f t="shared" si="30"/>
        <v>0</v>
      </c>
      <c r="DF50" s="304">
        <f t="shared" si="30"/>
        <v>0</v>
      </c>
      <c r="DG50" s="304">
        <f t="shared" si="30"/>
        <v>0</v>
      </c>
      <c r="DH50" s="304">
        <f t="shared" si="30"/>
        <v>0</v>
      </c>
      <c r="DI50" s="304">
        <f t="shared" si="30"/>
        <v>0</v>
      </c>
      <c r="DJ50" s="304">
        <f t="shared" si="30"/>
        <v>0</v>
      </c>
      <c r="DK50" s="304">
        <f t="shared" si="30"/>
        <v>0</v>
      </c>
      <c r="DL50" s="304">
        <f t="shared" si="30"/>
        <v>0</v>
      </c>
      <c r="DM50" s="304">
        <f t="shared" si="30"/>
        <v>0</v>
      </c>
      <c r="DN50" s="304">
        <f t="shared" si="30"/>
        <v>0</v>
      </c>
      <c r="DO50" s="304">
        <f t="shared" si="30"/>
        <v>0</v>
      </c>
      <c r="DP50" s="304">
        <f t="shared" si="30"/>
        <v>0</v>
      </c>
      <c r="DQ50" s="304">
        <f t="shared" si="30"/>
        <v>0</v>
      </c>
      <c r="DR50" s="304">
        <f t="shared" si="30"/>
        <v>0</v>
      </c>
      <c r="DS50" s="304">
        <f t="shared" si="30"/>
        <v>0</v>
      </c>
      <c r="DT50" s="304">
        <f t="shared" si="30"/>
        <v>0</v>
      </c>
      <c r="DU50" s="304">
        <f t="shared" si="30"/>
        <v>0</v>
      </c>
      <c r="DV50" s="304">
        <f t="shared" si="30"/>
        <v>0</v>
      </c>
      <c r="DW50" s="304">
        <f t="shared" si="30"/>
        <v>0</v>
      </c>
      <c r="DX50" s="304">
        <f t="shared" si="30"/>
        <v>0</v>
      </c>
      <c r="DY50" s="304">
        <f t="shared" si="30"/>
        <v>0</v>
      </c>
      <c r="DZ50" s="304">
        <f t="shared" si="30"/>
        <v>0</v>
      </c>
      <c r="EA50" s="304">
        <f t="shared" si="30"/>
        <v>0</v>
      </c>
      <c r="EB50" s="304">
        <f t="shared" si="30"/>
        <v>0</v>
      </c>
      <c r="EC50" s="304">
        <f t="shared" si="30"/>
        <v>0</v>
      </c>
      <c r="ED50" s="304">
        <f t="shared" si="30"/>
        <v>0</v>
      </c>
      <c r="EE50" s="304">
        <f t="shared" si="30"/>
        <v>0</v>
      </c>
      <c r="EF50" s="304">
        <f t="shared" si="30"/>
        <v>0</v>
      </c>
      <c r="EG50" s="304">
        <f t="shared" si="30"/>
        <v>0</v>
      </c>
      <c r="EH50" s="304">
        <f t="shared" si="30"/>
        <v>0</v>
      </c>
      <c r="EI50" s="304">
        <f t="shared" si="30"/>
        <v>0</v>
      </c>
      <c r="EJ50" s="304">
        <f t="shared" si="30"/>
        <v>0</v>
      </c>
      <c r="EK50" s="304">
        <f t="shared" si="30"/>
        <v>0</v>
      </c>
      <c r="EL50" s="304">
        <f t="shared" si="30"/>
        <v>0</v>
      </c>
      <c r="EM50" s="304">
        <f t="shared" si="30"/>
        <v>0</v>
      </c>
      <c r="EN50" s="304">
        <f t="shared" si="30"/>
        <v>0</v>
      </c>
      <c r="EO50" s="304">
        <f t="shared" si="30"/>
        <v>0</v>
      </c>
      <c r="EP50" s="304">
        <f t="shared" si="30"/>
        <v>0</v>
      </c>
      <c r="EQ50" s="304">
        <f t="shared" si="30"/>
        <v>0</v>
      </c>
      <c r="ER50" s="304">
        <f t="shared" si="30"/>
        <v>0</v>
      </c>
      <c r="ES50" s="304">
        <f t="shared" si="30"/>
        <v>0</v>
      </c>
      <c r="ET50" s="304">
        <f t="shared" si="30"/>
        <v>0</v>
      </c>
      <c r="EU50" s="304">
        <f t="shared" si="30"/>
        <v>0</v>
      </c>
      <c r="EV50" s="304">
        <f t="shared" si="30"/>
        <v>0</v>
      </c>
      <c r="EW50" s="304">
        <f t="shared" si="30"/>
        <v>0</v>
      </c>
      <c r="EX50" s="304">
        <f t="shared" si="30"/>
        <v>0</v>
      </c>
      <c r="EY50" s="304">
        <f t="shared" si="30"/>
        <v>0</v>
      </c>
      <c r="EZ50" s="304">
        <f t="shared" si="30"/>
        <v>0</v>
      </c>
      <c r="FA50" s="304">
        <f t="shared" si="30"/>
        <v>0</v>
      </c>
      <c r="FB50" s="304">
        <f t="shared" si="30"/>
        <v>0</v>
      </c>
      <c r="FC50" s="304">
        <f t="shared" si="30"/>
        <v>0</v>
      </c>
      <c r="FD50" s="304">
        <f t="shared" si="30"/>
        <v>0</v>
      </c>
      <c r="FE50" s="304">
        <f t="shared" si="30"/>
        <v>0</v>
      </c>
      <c r="FF50" s="304">
        <f t="shared" si="30"/>
        <v>0</v>
      </c>
      <c r="FG50" s="304">
        <f t="shared" si="30"/>
        <v>0</v>
      </c>
      <c r="FH50" s="304">
        <f t="shared" si="30"/>
        <v>0</v>
      </c>
      <c r="FI50" s="304">
        <f t="shared" si="30"/>
        <v>0</v>
      </c>
      <c r="FJ50" s="304">
        <f t="shared" si="30"/>
        <v>0</v>
      </c>
      <c r="FK50" s="304">
        <f t="shared" si="30"/>
        <v>0</v>
      </c>
      <c r="FL50" s="304">
        <f t="shared" ref="FL50:HW50" si="31">FL47+FL14+FL48+FL49</f>
        <v>0</v>
      </c>
      <c r="FM50" s="304">
        <f t="shared" si="31"/>
        <v>0</v>
      </c>
      <c r="FN50" s="304">
        <f t="shared" si="31"/>
        <v>0</v>
      </c>
      <c r="FO50" s="304">
        <f t="shared" si="31"/>
        <v>0</v>
      </c>
      <c r="FP50" s="304">
        <f t="shared" si="31"/>
        <v>0</v>
      </c>
      <c r="FQ50" s="304">
        <f t="shared" si="31"/>
        <v>0</v>
      </c>
      <c r="FR50" s="304">
        <f t="shared" si="31"/>
        <v>0</v>
      </c>
      <c r="FS50" s="304">
        <f t="shared" si="31"/>
        <v>0</v>
      </c>
      <c r="FT50" s="304">
        <f t="shared" si="31"/>
        <v>0</v>
      </c>
      <c r="FU50" s="304">
        <f t="shared" si="31"/>
        <v>0</v>
      </c>
      <c r="FV50" s="304">
        <f t="shared" si="31"/>
        <v>0</v>
      </c>
      <c r="FW50" s="304">
        <f t="shared" si="31"/>
        <v>0</v>
      </c>
      <c r="FX50" s="304">
        <f t="shared" si="31"/>
        <v>0</v>
      </c>
      <c r="FY50" s="304">
        <f t="shared" si="31"/>
        <v>0</v>
      </c>
      <c r="FZ50" s="304">
        <f t="shared" si="31"/>
        <v>0</v>
      </c>
      <c r="GA50" s="304">
        <f t="shared" si="31"/>
        <v>0</v>
      </c>
      <c r="GB50" s="304">
        <f t="shared" si="31"/>
        <v>0</v>
      </c>
      <c r="GC50" s="304">
        <f t="shared" si="31"/>
        <v>0</v>
      </c>
      <c r="GD50" s="304">
        <f t="shared" si="31"/>
        <v>0</v>
      </c>
      <c r="GE50" s="304">
        <f t="shared" si="31"/>
        <v>0</v>
      </c>
      <c r="GF50" s="304">
        <f t="shared" si="31"/>
        <v>0</v>
      </c>
      <c r="GG50" s="304">
        <f t="shared" si="31"/>
        <v>0</v>
      </c>
      <c r="GH50" s="304">
        <f t="shared" si="31"/>
        <v>0</v>
      </c>
      <c r="GI50" s="304">
        <f t="shared" si="31"/>
        <v>0</v>
      </c>
      <c r="GJ50" s="304">
        <f t="shared" si="31"/>
        <v>0</v>
      </c>
      <c r="GK50" s="304">
        <f t="shared" si="31"/>
        <v>0</v>
      </c>
      <c r="GL50" s="304">
        <f t="shared" si="31"/>
        <v>0</v>
      </c>
      <c r="GM50" s="304">
        <f t="shared" si="31"/>
        <v>0</v>
      </c>
      <c r="GN50" s="304">
        <f t="shared" si="31"/>
        <v>0</v>
      </c>
      <c r="GO50" s="304">
        <f t="shared" si="31"/>
        <v>0</v>
      </c>
      <c r="GP50" s="304">
        <f t="shared" si="31"/>
        <v>0</v>
      </c>
      <c r="GQ50" s="304">
        <f t="shared" si="31"/>
        <v>0</v>
      </c>
      <c r="GR50" s="304">
        <f t="shared" si="31"/>
        <v>0</v>
      </c>
      <c r="GS50" s="304">
        <f t="shared" si="31"/>
        <v>0</v>
      </c>
      <c r="GT50" s="304">
        <f t="shared" si="31"/>
        <v>0</v>
      </c>
      <c r="GU50" s="304">
        <f t="shared" si="31"/>
        <v>0</v>
      </c>
      <c r="GV50" s="304">
        <f t="shared" si="31"/>
        <v>0</v>
      </c>
      <c r="GW50" s="304">
        <f t="shared" si="31"/>
        <v>0</v>
      </c>
      <c r="GX50" s="304">
        <f t="shared" si="31"/>
        <v>0</v>
      </c>
      <c r="GY50" s="304">
        <f t="shared" si="31"/>
        <v>0</v>
      </c>
      <c r="GZ50" s="304">
        <f t="shared" si="31"/>
        <v>0</v>
      </c>
      <c r="HA50" s="304">
        <f t="shared" si="31"/>
        <v>0</v>
      </c>
      <c r="HB50" s="304">
        <f t="shared" si="31"/>
        <v>0</v>
      </c>
      <c r="HC50" s="304">
        <f t="shared" si="31"/>
        <v>0</v>
      </c>
      <c r="HD50" s="304">
        <f t="shared" si="31"/>
        <v>0</v>
      </c>
      <c r="HE50" s="304">
        <f t="shared" si="31"/>
        <v>0</v>
      </c>
      <c r="HF50" s="304">
        <f t="shared" si="31"/>
        <v>0</v>
      </c>
      <c r="HG50" s="304">
        <f t="shared" si="31"/>
        <v>0</v>
      </c>
      <c r="HH50" s="304">
        <f t="shared" si="31"/>
        <v>0</v>
      </c>
      <c r="HI50" s="304">
        <f t="shared" si="31"/>
        <v>0</v>
      </c>
      <c r="HJ50" s="304">
        <f t="shared" si="31"/>
        <v>0</v>
      </c>
      <c r="HK50" s="304">
        <f t="shared" si="31"/>
        <v>0</v>
      </c>
      <c r="HL50" s="304">
        <f t="shared" si="31"/>
        <v>0</v>
      </c>
      <c r="HM50" s="304">
        <f t="shared" si="31"/>
        <v>0</v>
      </c>
      <c r="HN50" s="304">
        <f t="shared" si="31"/>
        <v>0</v>
      </c>
      <c r="HO50" s="304">
        <f t="shared" si="31"/>
        <v>0</v>
      </c>
      <c r="HP50" s="304">
        <f t="shared" si="31"/>
        <v>0</v>
      </c>
      <c r="HQ50" s="304">
        <f t="shared" si="31"/>
        <v>0</v>
      </c>
      <c r="HR50" s="304">
        <f t="shared" si="31"/>
        <v>0</v>
      </c>
      <c r="HS50" s="304">
        <f t="shared" si="31"/>
        <v>0</v>
      </c>
      <c r="HT50" s="304">
        <f t="shared" si="31"/>
        <v>0</v>
      </c>
      <c r="HU50" s="304">
        <f t="shared" si="31"/>
        <v>0</v>
      </c>
      <c r="HV50" s="304">
        <f t="shared" si="31"/>
        <v>0</v>
      </c>
      <c r="HW50" s="304">
        <f t="shared" si="31"/>
        <v>0</v>
      </c>
      <c r="HX50" s="304">
        <f t="shared" ref="HX50:IT50" si="32">HX47+HX14+HX48+HX49</f>
        <v>0</v>
      </c>
      <c r="HY50" s="304">
        <f t="shared" si="32"/>
        <v>0</v>
      </c>
      <c r="HZ50" s="304">
        <f t="shared" si="32"/>
        <v>0</v>
      </c>
      <c r="IA50" s="304">
        <f t="shared" si="32"/>
        <v>0</v>
      </c>
      <c r="IB50" s="304">
        <f t="shared" si="32"/>
        <v>0</v>
      </c>
      <c r="IC50" s="304">
        <f t="shared" si="32"/>
        <v>0</v>
      </c>
      <c r="ID50" s="304">
        <f t="shared" si="32"/>
        <v>0</v>
      </c>
      <c r="IE50" s="304">
        <f t="shared" si="32"/>
        <v>0</v>
      </c>
      <c r="IF50" s="304">
        <f t="shared" si="32"/>
        <v>0</v>
      </c>
      <c r="IG50" s="304">
        <f t="shared" si="32"/>
        <v>0</v>
      </c>
      <c r="IH50" s="304">
        <f t="shared" si="32"/>
        <v>0</v>
      </c>
      <c r="II50" s="304">
        <f t="shared" si="32"/>
        <v>0</v>
      </c>
      <c r="IJ50" s="304">
        <f t="shared" si="32"/>
        <v>0</v>
      </c>
      <c r="IK50" s="304">
        <f t="shared" si="32"/>
        <v>0</v>
      </c>
      <c r="IL50" s="304">
        <f t="shared" si="32"/>
        <v>0</v>
      </c>
      <c r="IM50" s="304">
        <f t="shared" si="32"/>
        <v>0</v>
      </c>
      <c r="IN50" s="304">
        <f t="shared" si="32"/>
        <v>0</v>
      </c>
      <c r="IO50" s="304">
        <f t="shared" si="32"/>
        <v>0</v>
      </c>
      <c r="IP50" s="304">
        <f t="shared" si="32"/>
        <v>0</v>
      </c>
      <c r="IQ50" s="304">
        <f t="shared" si="32"/>
        <v>0</v>
      </c>
      <c r="IR50" s="304">
        <f t="shared" si="32"/>
        <v>0</v>
      </c>
      <c r="IS50" s="304">
        <f t="shared" si="32"/>
        <v>0</v>
      </c>
      <c r="IT50" s="304">
        <f t="shared" si="32"/>
        <v>0</v>
      </c>
    </row>
    <row r="51" spans="1:254" ht="15.75" hidden="1" thickTop="1">
      <c r="A51" s="299" t="s">
        <v>58</v>
      </c>
      <c r="B51" s="305">
        <v>4550</v>
      </c>
      <c r="C51" s="143"/>
      <c r="D51" s="143">
        <f>+D50*0.3</f>
        <v>-33405.348298642886</v>
      </c>
      <c r="E51" s="305"/>
      <c r="F51" s="143"/>
      <c r="G51" s="143"/>
      <c r="H51" s="143">
        <f>+H50*0.3</f>
        <v>50358.075343214288</v>
      </c>
      <c r="I51" s="305"/>
      <c r="J51" s="143"/>
      <c r="K51" s="143"/>
      <c r="L51" s="143">
        <f>+L50*0.3</f>
        <v>65360.445652214279</v>
      </c>
      <c r="M51" s="305"/>
      <c r="N51" s="143"/>
      <c r="O51" s="143"/>
      <c r="P51" s="143">
        <f>+P50*0.3</f>
        <v>-35299.599477071482</v>
      </c>
      <c r="Q51" s="305"/>
      <c r="R51" s="143"/>
      <c r="S51" s="143"/>
      <c r="T51" s="143">
        <f>+T50*0.3</f>
        <v>-68374.023561928625</v>
      </c>
      <c r="U51" s="143"/>
      <c r="V51" s="143">
        <f>+V50*0.3</f>
        <v>-16415.826342214401</v>
      </c>
      <c r="W51" s="143"/>
      <c r="X51" s="143">
        <f>+X50*0.3</f>
        <v>0</v>
      </c>
      <c r="Y51" s="143"/>
      <c r="Z51" s="143">
        <f>+Z50*0.3</f>
        <v>-16415.826342214401</v>
      </c>
      <c r="AA51" s="143"/>
      <c r="AB51" s="143">
        <f>+AB50*0.3</f>
        <v>0</v>
      </c>
      <c r="AC51" s="143"/>
      <c r="AD51" s="143">
        <f>+AD50*0.3</f>
        <v>-16415.826342214401</v>
      </c>
      <c r="AE51" s="209"/>
      <c r="AF51" s="209">
        <f>+AF50*0.3</f>
        <v>0</v>
      </c>
      <c r="AG51" s="209"/>
      <c r="AH51" s="143">
        <f>+AH50*0.3</f>
        <v>-16415.826342214401</v>
      </c>
      <c r="AI51" s="452"/>
      <c r="AJ51" s="143">
        <f>+AJ50*0.3</f>
        <v>0</v>
      </c>
      <c r="AK51" s="143"/>
      <c r="AL51" s="143">
        <f>+AL50*0.3</f>
        <v>-16415.826342214401</v>
      </c>
      <c r="AM51" s="452"/>
      <c r="AN51" s="143">
        <f>+AN50*0.3</f>
        <v>0</v>
      </c>
      <c r="AO51" s="143"/>
      <c r="AP51" s="143">
        <f>+AP50*0.3</f>
        <v>-16415.826342214401</v>
      </c>
      <c r="AQ51" s="452"/>
      <c r="AR51" s="143">
        <f>+AR50*0.3</f>
        <v>0</v>
      </c>
      <c r="AS51" s="452"/>
      <c r="AT51" s="448" t="e">
        <f>#REF!+V51+Z51+AB51+AF51+AN51+AR51+AJ51</f>
        <v>#REF!</v>
      </c>
      <c r="AV51" s="448" t="e">
        <f t="shared" ref="AV51:AW59" si="33">D51+X51+AB51+AD51+AH51+AP51+AT51+AL51</f>
        <v>#REF!</v>
      </c>
      <c r="AW51" s="448">
        <f t="shared" si="33"/>
        <v>0</v>
      </c>
    </row>
    <row r="52" spans="1:254" ht="8.25" hidden="1" customHeight="1">
      <c r="B52" s="134">
        <v>82948.89</v>
      </c>
      <c r="D52" s="306"/>
      <c r="E52" s="134"/>
      <c r="F52" s="315"/>
      <c r="H52" s="306"/>
      <c r="I52" s="134"/>
      <c r="J52" s="307"/>
      <c r="L52" s="306"/>
      <c r="M52" s="134"/>
      <c r="N52" s="307"/>
      <c r="P52" s="306"/>
      <c r="Q52" s="134"/>
      <c r="R52" s="307"/>
      <c r="T52" s="306"/>
      <c r="V52" s="306"/>
      <c r="X52" s="306"/>
      <c r="Z52" s="306"/>
      <c r="AB52" s="306"/>
      <c r="AD52" s="306"/>
      <c r="AE52" s="203"/>
      <c r="AF52" s="211"/>
      <c r="AG52" s="203"/>
      <c r="AH52" s="306"/>
      <c r="AJ52" s="306"/>
      <c r="AL52" s="306"/>
      <c r="AN52" s="306"/>
      <c r="AP52" s="306"/>
      <c r="AR52" s="306"/>
      <c r="AT52" s="448" t="e">
        <f>#REF!+V52+Z52+AB52+AF52+AN52+AR52+AJ52</f>
        <v>#REF!</v>
      </c>
      <c r="AV52" s="448" t="e">
        <f t="shared" si="33"/>
        <v>#REF!</v>
      </c>
      <c r="AW52" s="448">
        <f t="shared" si="33"/>
        <v>0</v>
      </c>
    </row>
    <row r="53" spans="1:254" ht="16.5" hidden="1" thickTop="1" thickBot="1">
      <c r="A53" s="308" t="s">
        <v>59</v>
      </c>
      <c r="B53" s="309">
        <v>65517</v>
      </c>
      <c r="C53" s="312" t="s">
        <v>7</v>
      </c>
      <c r="D53" s="311">
        <f>+D50</f>
        <v>-111351.16099547628</v>
      </c>
      <c r="E53" s="310" t="s">
        <v>7</v>
      </c>
      <c r="F53" s="311"/>
      <c r="G53" s="312" t="s">
        <v>7</v>
      </c>
      <c r="H53" s="311">
        <f>+H50</f>
        <v>167860.25114404762</v>
      </c>
      <c r="I53" s="310" t="s">
        <v>7</v>
      </c>
      <c r="J53" s="311"/>
      <c r="K53" s="312" t="s">
        <v>7</v>
      </c>
      <c r="L53" s="311">
        <f>+L50</f>
        <v>217868.1521740476</v>
      </c>
      <c r="M53" s="310" t="s">
        <v>7</v>
      </c>
      <c r="N53" s="311"/>
      <c r="O53" s="312" t="s">
        <v>7</v>
      </c>
      <c r="P53" s="311">
        <f>+P50</f>
        <v>-117665.33159023829</v>
      </c>
      <c r="Q53" s="310" t="s">
        <v>7</v>
      </c>
      <c r="R53" s="311"/>
      <c r="S53" s="312" t="s">
        <v>7</v>
      </c>
      <c r="T53" s="311">
        <f>+T50</f>
        <v>-227913.41187309544</v>
      </c>
      <c r="U53" s="312" t="s">
        <v>7</v>
      </c>
      <c r="V53" s="311">
        <f>+V50</f>
        <v>-54719.421140714672</v>
      </c>
      <c r="W53" s="312" t="s">
        <v>7</v>
      </c>
      <c r="X53" s="311">
        <f>+X50</f>
        <v>0</v>
      </c>
      <c r="Y53" s="312" t="s">
        <v>7</v>
      </c>
      <c r="Z53" s="311">
        <f>+Z50</f>
        <v>-54719.421140714672</v>
      </c>
      <c r="AA53" s="312" t="s">
        <v>7</v>
      </c>
      <c r="AB53" s="311">
        <f>+AB50</f>
        <v>0</v>
      </c>
      <c r="AC53" s="312" t="s">
        <v>7</v>
      </c>
      <c r="AD53" s="311">
        <f>+AD50</f>
        <v>-54719.421140714672</v>
      </c>
      <c r="AE53" s="213" t="s">
        <v>7</v>
      </c>
      <c r="AF53" s="212">
        <f>+AF50</f>
        <v>0</v>
      </c>
      <c r="AG53" s="213" t="s">
        <v>7</v>
      </c>
      <c r="AH53" s="311">
        <f>+AH50</f>
        <v>-54719.421140714672</v>
      </c>
      <c r="AI53" s="453" t="s">
        <v>7</v>
      </c>
      <c r="AJ53" s="311">
        <f>+AJ50</f>
        <v>0</v>
      </c>
      <c r="AK53" s="312" t="s">
        <v>7</v>
      </c>
      <c r="AL53" s="311">
        <f>+AL50</f>
        <v>-54719.421140714672</v>
      </c>
      <c r="AM53" s="453" t="s">
        <v>7</v>
      </c>
      <c r="AN53" s="311">
        <f>+AN50</f>
        <v>0</v>
      </c>
      <c r="AO53" s="312" t="s">
        <v>7</v>
      </c>
      <c r="AP53" s="311">
        <f>+AP50</f>
        <v>-54719.421140714672</v>
      </c>
      <c r="AQ53" s="453" t="s">
        <v>7</v>
      </c>
      <c r="AR53" s="311">
        <f>+AR50</f>
        <v>0</v>
      </c>
      <c r="AS53" s="453" t="s">
        <v>7</v>
      </c>
      <c r="AT53" s="448" t="e">
        <f>#REF!+V53+Z53+AB53+AF53+AN53+AR53+AJ53</f>
        <v>#REF!</v>
      </c>
      <c r="AV53" s="448" t="e">
        <f t="shared" si="33"/>
        <v>#REF!</v>
      </c>
      <c r="AW53" s="448" t="e">
        <f t="shared" si="33"/>
        <v>#VALUE!</v>
      </c>
    </row>
    <row r="54" spans="1:254" ht="8.25" hidden="1" customHeight="1" thickTop="1">
      <c r="E54" s="134"/>
      <c r="I54" s="134"/>
      <c r="M54" s="134"/>
      <c r="Q54" s="134"/>
      <c r="AE54" s="203"/>
      <c r="AF54" s="203"/>
      <c r="AG54" s="203"/>
      <c r="AJ54" s="135"/>
      <c r="AN54" s="135"/>
      <c r="AR54" s="135"/>
      <c r="AT54" s="448" t="e">
        <f>#REF!+V54+Z54+AB54+AF54+AN54+AR54+AJ54</f>
        <v>#REF!</v>
      </c>
      <c r="AV54" s="448" t="e">
        <f t="shared" si="33"/>
        <v>#REF!</v>
      </c>
      <c r="AW54" s="448">
        <f t="shared" si="33"/>
        <v>0</v>
      </c>
    </row>
    <row r="55" spans="1:254" ht="15.75" hidden="1" thickTop="1">
      <c r="A55" s="313" t="s">
        <v>60</v>
      </c>
      <c r="B55" s="314"/>
      <c r="C55" s="315"/>
      <c r="D55" s="315" t="e">
        <f>+#REF!</f>
        <v>#REF!</v>
      </c>
      <c r="E55" s="314"/>
      <c r="F55" s="315"/>
      <c r="G55" s="315"/>
      <c r="H55" s="315" t="e">
        <f>+#REF!</f>
        <v>#REF!</v>
      </c>
      <c r="I55" s="314"/>
      <c r="J55" s="315"/>
      <c r="K55" s="315"/>
      <c r="L55" s="315" t="e">
        <f>+#REF!</f>
        <v>#REF!</v>
      </c>
      <c r="M55" s="314"/>
      <c r="N55" s="315"/>
      <c r="O55" s="315"/>
      <c r="P55" s="315" t="e">
        <f>+#REF!</f>
        <v>#REF!</v>
      </c>
      <c r="Q55" s="314"/>
      <c r="R55" s="315"/>
      <c r="S55" s="315"/>
      <c r="T55" s="315" t="e">
        <f>+#REF!</f>
        <v>#REF!</v>
      </c>
      <c r="U55" s="315"/>
      <c r="V55" s="315" t="e">
        <f>+#REF!</f>
        <v>#REF!</v>
      </c>
      <c r="W55" s="315"/>
      <c r="X55" s="315" t="e">
        <f>+#REF!</f>
        <v>#REF!</v>
      </c>
      <c r="Y55" s="315"/>
      <c r="Z55" s="315" t="e">
        <f>+V57</f>
        <v>#REF!</v>
      </c>
      <c r="AA55" s="315"/>
      <c r="AB55" s="315" t="e">
        <f>+#REF!</f>
        <v>#REF!</v>
      </c>
      <c r="AC55" s="315"/>
      <c r="AD55" s="315" t="e">
        <f>+Z57</f>
        <v>#REF!</v>
      </c>
      <c r="AE55" s="214"/>
      <c r="AF55" s="214" t="e">
        <f>+#REF!</f>
        <v>#REF!</v>
      </c>
      <c r="AG55" s="214"/>
      <c r="AH55" s="315" t="e">
        <f>+AD57</f>
        <v>#REF!</v>
      </c>
      <c r="AI55" s="454"/>
      <c r="AJ55" s="315" t="e">
        <f>+#REF!</f>
        <v>#REF!</v>
      </c>
      <c r="AK55" s="315"/>
      <c r="AL55" s="315" t="e">
        <f>+AH57</f>
        <v>#REF!</v>
      </c>
      <c r="AM55" s="454"/>
      <c r="AN55" s="315" t="e">
        <f>+#REF!</f>
        <v>#REF!</v>
      </c>
      <c r="AO55" s="315"/>
      <c r="AP55" s="315" t="e">
        <f>+AL57</f>
        <v>#REF!</v>
      </c>
      <c r="AQ55" s="454"/>
      <c r="AR55" s="315" t="e">
        <f>+#REF!</f>
        <v>#REF!</v>
      </c>
      <c r="AS55" s="454"/>
      <c r="AT55" s="448" t="e">
        <f>#REF!+V55+Z55+AB55+AF55+AN55+AR55+AJ55</f>
        <v>#REF!</v>
      </c>
      <c r="AV55" s="448" t="e">
        <f t="shared" si="33"/>
        <v>#REF!</v>
      </c>
      <c r="AW55" s="448">
        <f t="shared" si="33"/>
        <v>0</v>
      </c>
    </row>
    <row r="56" spans="1:254" s="145" customFormat="1" ht="8.25" hidden="1" customHeight="1">
      <c r="A56" s="275"/>
      <c r="B56" s="316"/>
      <c r="C56" s="306"/>
      <c r="D56" s="306"/>
      <c r="E56" s="316"/>
      <c r="F56" s="526"/>
      <c r="G56" s="306"/>
      <c r="H56" s="306"/>
      <c r="I56" s="316"/>
      <c r="J56" s="306"/>
      <c r="K56" s="306"/>
      <c r="L56" s="306"/>
      <c r="M56" s="316"/>
      <c r="N56" s="306"/>
      <c r="O56" s="306"/>
      <c r="P56" s="306"/>
      <c r="Q56" s="31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211"/>
      <c r="AF56" s="211"/>
      <c r="AG56" s="211"/>
      <c r="AH56" s="306"/>
      <c r="AI56" s="455"/>
      <c r="AJ56" s="306"/>
      <c r="AK56" s="306"/>
      <c r="AL56" s="306"/>
      <c r="AM56" s="455"/>
      <c r="AN56" s="306"/>
      <c r="AO56" s="306"/>
      <c r="AP56" s="306"/>
      <c r="AQ56" s="455"/>
      <c r="AR56" s="306"/>
      <c r="AS56" s="455"/>
      <c r="AT56" s="448" t="e">
        <f>#REF!+V56+Z56+AB56+AF56+AN56+AR56+AJ56</f>
        <v>#REF!</v>
      </c>
      <c r="AV56" s="448" t="e">
        <f t="shared" si="33"/>
        <v>#REF!</v>
      </c>
      <c r="AW56" s="448">
        <f t="shared" si="33"/>
        <v>0</v>
      </c>
    </row>
    <row r="57" spans="1:254" s="146" customFormat="1" ht="16.5" hidden="1" thickTop="1" thickBot="1">
      <c r="A57" s="308" t="s">
        <v>61</v>
      </c>
      <c r="B57" s="309"/>
      <c r="C57" s="312" t="s">
        <v>7</v>
      </c>
      <c r="D57" s="311" t="e">
        <f>+D50+D55</f>
        <v>#REF!</v>
      </c>
      <c r="E57" s="310" t="s">
        <v>7</v>
      </c>
      <c r="F57" s="311"/>
      <c r="G57" s="312" t="s">
        <v>7</v>
      </c>
      <c r="H57" s="311" t="e">
        <f>+H50+H55</f>
        <v>#REF!</v>
      </c>
      <c r="I57" s="310" t="s">
        <v>7</v>
      </c>
      <c r="J57" s="311"/>
      <c r="K57" s="312" t="s">
        <v>7</v>
      </c>
      <c r="L57" s="311" t="e">
        <f>+L50+L55</f>
        <v>#REF!</v>
      </c>
      <c r="M57" s="310" t="s">
        <v>7</v>
      </c>
      <c r="N57" s="311"/>
      <c r="O57" s="312" t="s">
        <v>7</v>
      </c>
      <c r="P57" s="311" t="e">
        <f>+P50+P55</f>
        <v>#REF!</v>
      </c>
      <c r="Q57" s="310" t="s">
        <v>7</v>
      </c>
      <c r="R57" s="311"/>
      <c r="S57" s="312" t="s">
        <v>7</v>
      </c>
      <c r="T57" s="311" t="e">
        <f>+T50+T55</f>
        <v>#REF!</v>
      </c>
      <c r="U57" s="312" t="s">
        <v>7</v>
      </c>
      <c r="V57" s="311" t="e">
        <f>+V50+V55</f>
        <v>#REF!</v>
      </c>
      <c r="W57" s="312" t="s">
        <v>7</v>
      </c>
      <c r="X57" s="311" t="e">
        <f>+X50+X55</f>
        <v>#REF!</v>
      </c>
      <c r="Y57" s="312" t="s">
        <v>7</v>
      </c>
      <c r="Z57" s="311" t="e">
        <f>+Z50+Z55</f>
        <v>#REF!</v>
      </c>
      <c r="AA57" s="312" t="s">
        <v>7</v>
      </c>
      <c r="AB57" s="311" t="e">
        <f>+AB50+AB55</f>
        <v>#REF!</v>
      </c>
      <c r="AC57" s="312" t="s">
        <v>7</v>
      </c>
      <c r="AD57" s="311" t="e">
        <f>+AD50+AD55</f>
        <v>#REF!</v>
      </c>
      <c r="AE57" s="213" t="s">
        <v>7</v>
      </c>
      <c r="AF57" s="212" t="e">
        <f>+AF50+AF55</f>
        <v>#REF!</v>
      </c>
      <c r="AG57" s="213" t="s">
        <v>7</v>
      </c>
      <c r="AH57" s="311" t="e">
        <f>+AH50+AH55</f>
        <v>#REF!</v>
      </c>
      <c r="AI57" s="453" t="s">
        <v>7</v>
      </c>
      <c r="AJ57" s="311" t="e">
        <f>+AJ50+AJ55</f>
        <v>#REF!</v>
      </c>
      <c r="AK57" s="312" t="s">
        <v>7</v>
      </c>
      <c r="AL57" s="311" t="e">
        <f>+AL50+AL55</f>
        <v>#REF!</v>
      </c>
      <c r="AM57" s="453" t="s">
        <v>7</v>
      </c>
      <c r="AN57" s="311" t="e">
        <f>+AN50+AN55</f>
        <v>#REF!</v>
      </c>
      <c r="AO57" s="312" t="s">
        <v>7</v>
      </c>
      <c r="AP57" s="311" t="e">
        <f>+AP50+AP55</f>
        <v>#REF!</v>
      </c>
      <c r="AQ57" s="453" t="s">
        <v>7</v>
      </c>
      <c r="AR57" s="311" t="e">
        <f>+AR50+AR55</f>
        <v>#REF!</v>
      </c>
      <c r="AS57" s="453" t="s">
        <v>7</v>
      </c>
      <c r="AT57" s="448" t="e">
        <f>#REF!+V57+Z57+AB57+AF57+AN57+AR57+AJ57</f>
        <v>#REF!</v>
      </c>
      <c r="AV57" s="448" t="e">
        <f t="shared" si="33"/>
        <v>#REF!</v>
      </c>
      <c r="AW57" s="448" t="e">
        <f t="shared" si="33"/>
        <v>#VALUE!</v>
      </c>
    </row>
    <row r="58" spans="1:254" s="147" customFormat="1" ht="24" hidden="1" customHeight="1" thickTop="1" thickBot="1">
      <c r="A58" s="317"/>
      <c r="B58" s="318"/>
      <c r="C58" s="319"/>
      <c r="D58" s="319"/>
      <c r="E58" s="318"/>
      <c r="F58" s="527"/>
      <c r="G58" s="319"/>
      <c r="H58" s="319"/>
      <c r="I58" s="318"/>
      <c r="J58" s="319"/>
      <c r="K58" s="319"/>
      <c r="L58" s="319"/>
      <c r="M58" s="318"/>
      <c r="N58" s="319"/>
      <c r="O58" s="319"/>
      <c r="P58" s="319"/>
      <c r="Q58" s="318"/>
      <c r="R58" s="319"/>
      <c r="S58" s="319"/>
      <c r="T58" s="319"/>
      <c r="U58" s="319"/>
      <c r="V58" s="319"/>
      <c r="W58" s="319"/>
      <c r="X58" s="319"/>
      <c r="Y58" s="319"/>
      <c r="Z58" s="319"/>
      <c r="AA58" s="319"/>
      <c r="AB58" s="319"/>
      <c r="AC58" s="319"/>
      <c r="AD58" s="319"/>
      <c r="AE58" s="215"/>
      <c r="AF58" s="215"/>
      <c r="AG58" s="215"/>
      <c r="AH58" s="319"/>
      <c r="AI58" s="456"/>
      <c r="AJ58" s="319"/>
      <c r="AK58" s="319"/>
      <c r="AL58" s="319"/>
      <c r="AM58" s="456"/>
      <c r="AN58" s="319"/>
      <c r="AO58" s="319"/>
      <c r="AP58" s="319"/>
      <c r="AQ58" s="456"/>
      <c r="AR58" s="319"/>
      <c r="AS58" s="456"/>
      <c r="AT58" s="448" t="e">
        <f>#REF!+V58+Z58+AB58+AF58+AN58+AR58+AJ58</f>
        <v>#REF!</v>
      </c>
      <c r="AV58" s="448" t="e">
        <f t="shared" si="33"/>
        <v>#REF!</v>
      </c>
      <c r="AW58" s="448">
        <f t="shared" si="33"/>
        <v>0</v>
      </c>
    </row>
    <row r="59" spans="1:254" ht="15.75" hidden="1" thickTop="1">
      <c r="A59" s="320" t="s">
        <v>62</v>
      </c>
      <c r="B59" s="321"/>
      <c r="C59" s="322"/>
      <c r="E59" s="321"/>
      <c r="G59" s="322"/>
      <c r="I59" s="321"/>
      <c r="K59" s="322"/>
      <c r="M59" s="321"/>
      <c r="O59" s="322"/>
      <c r="Q59" s="321"/>
      <c r="S59" s="322"/>
      <c r="U59" s="322"/>
      <c r="W59" s="322"/>
      <c r="Y59" s="322"/>
      <c r="AA59" s="322"/>
      <c r="AC59" s="322"/>
      <c r="AE59" s="216"/>
      <c r="AF59" s="203"/>
      <c r="AG59" s="216"/>
      <c r="AI59" s="457"/>
      <c r="AJ59" s="135"/>
      <c r="AK59" s="322"/>
      <c r="AM59" s="457"/>
      <c r="AN59" s="135"/>
      <c r="AO59" s="322"/>
      <c r="AQ59" s="457"/>
      <c r="AR59" s="135"/>
      <c r="AS59" s="457"/>
      <c r="AT59" s="448" t="e">
        <f>#REF!+V59+Z59+AB59+AF59+AN59+AR59+AJ59</f>
        <v>#REF!</v>
      </c>
      <c r="AV59" s="448" t="e">
        <f t="shared" si="33"/>
        <v>#REF!</v>
      </c>
      <c r="AW59" s="448">
        <f t="shared" si="33"/>
        <v>0</v>
      </c>
    </row>
    <row r="60" spans="1:254" s="136" customFormat="1" ht="15.75" hidden="1" thickTop="1">
      <c r="A60" s="323"/>
      <c r="B60" s="307"/>
      <c r="C60" s="307"/>
      <c r="D60" s="135">
        <f>D50+TB!M89</f>
        <v>-279211.41213952401</v>
      </c>
      <c r="E60" s="307"/>
      <c r="F60" s="282"/>
      <c r="G60" s="307"/>
      <c r="H60" s="135">
        <f>H50+TB!S89</f>
        <v>-50007.901029999863</v>
      </c>
      <c r="I60" s="307"/>
      <c r="J60" s="135">
        <f>J50+TB!T89</f>
        <v>-217868.15217404813</v>
      </c>
      <c r="K60" s="307"/>
      <c r="L60" s="135">
        <f>L50+TB!Y89</f>
        <v>335533.48376428586</v>
      </c>
      <c r="M60" s="307"/>
      <c r="N60" s="135"/>
      <c r="O60" s="307"/>
      <c r="P60" s="135">
        <f>P50+TB!AE89</f>
        <v>110248.08028285723</v>
      </c>
      <c r="Q60" s="307"/>
      <c r="R60" s="135"/>
      <c r="S60" s="307"/>
      <c r="T60" s="135">
        <f>T50+TB!AK89</f>
        <v>-227913.41187309544</v>
      </c>
      <c r="U60" s="307"/>
      <c r="V60" s="135"/>
      <c r="W60" s="307"/>
      <c r="X60" s="135">
        <f>X50+TB!AQ89</f>
        <v>0</v>
      </c>
      <c r="Y60" s="307"/>
      <c r="Z60" s="135">
        <f>Z50+TB!AR89</f>
        <v>8.7311491370201111E-11</v>
      </c>
      <c r="AA60" s="307"/>
      <c r="AB60" s="135">
        <f>AB50+TB!AG89</f>
        <v>0</v>
      </c>
      <c r="AC60" s="307"/>
      <c r="AD60" s="135"/>
      <c r="AE60" s="208"/>
      <c r="AF60" s="203">
        <f>AF50+TB!AK89</f>
        <v>0</v>
      </c>
      <c r="AG60" s="208"/>
      <c r="AH60" s="135"/>
      <c r="AI60" s="458"/>
      <c r="AJ60" s="135">
        <f>AJ50+TB!AO89</f>
        <v>0</v>
      </c>
      <c r="AK60" s="307"/>
      <c r="AL60" s="135"/>
      <c r="AM60" s="458"/>
      <c r="AN60" s="135">
        <f>AN50+TB!AS89</f>
        <v>0</v>
      </c>
      <c r="AO60" s="307"/>
      <c r="AP60" s="135"/>
      <c r="AQ60" s="458"/>
      <c r="AR60" s="135">
        <f>AR50+TB!AW89</f>
        <v>0</v>
      </c>
      <c r="AS60" s="458"/>
      <c r="AT60" s="448">
        <f>AT50+TB!AF89</f>
        <v>8.7311491370201111E-11</v>
      </c>
      <c r="AV60" s="448">
        <f>AV50+TB!AH89</f>
        <v>-54719.421140714672</v>
      </c>
      <c r="AW60" s="448" t="e">
        <f>AW50+TB!AI89</f>
        <v>#VALUE!</v>
      </c>
    </row>
    <row r="61" spans="1:254" ht="15.75" hidden="1" thickTop="1">
      <c r="A61" s="298"/>
      <c r="B61" s="324"/>
      <c r="C61" s="307"/>
      <c r="E61" s="307"/>
      <c r="G61" s="307"/>
      <c r="I61" s="307"/>
      <c r="K61" s="307"/>
      <c r="M61" s="307"/>
      <c r="O61" s="307"/>
      <c r="Q61" s="307"/>
      <c r="S61" s="307"/>
      <c r="U61" s="307"/>
      <c r="W61" s="307"/>
      <c r="Y61" s="307"/>
      <c r="AA61" s="307"/>
      <c r="AC61" s="307"/>
      <c r="AE61" s="208"/>
      <c r="AF61" s="204"/>
      <c r="AG61" s="208"/>
      <c r="AI61" s="458"/>
      <c r="AK61" s="307"/>
      <c r="AM61" s="458"/>
      <c r="AO61" s="307"/>
      <c r="AQ61" s="458"/>
      <c r="AS61" s="458"/>
    </row>
    <row r="62" spans="1:254" ht="15.75" hidden="1" thickTop="1">
      <c r="A62" s="298"/>
      <c r="B62" s="324"/>
      <c r="C62" s="307"/>
      <c r="E62" s="307"/>
      <c r="G62" s="307"/>
      <c r="I62" s="307"/>
      <c r="K62" s="307"/>
      <c r="M62" s="307"/>
      <c r="O62" s="307"/>
      <c r="Q62" s="307"/>
      <c r="S62" s="307"/>
      <c r="U62" s="307"/>
      <c r="W62" s="307"/>
      <c r="Y62" s="307"/>
      <c r="AA62" s="307"/>
      <c r="AC62" s="307"/>
      <c r="AE62" s="208"/>
      <c r="AF62" s="204"/>
      <c r="AG62" s="208"/>
      <c r="AI62" s="458"/>
      <c r="AK62" s="307"/>
      <c r="AM62" s="458"/>
      <c r="AO62" s="307"/>
      <c r="AQ62" s="458"/>
      <c r="AS62" s="458"/>
    </row>
    <row r="63" spans="1:254" ht="15.75" hidden="1" thickTop="1">
      <c r="A63" s="313"/>
      <c r="B63" s="314"/>
      <c r="C63" s="315"/>
      <c r="E63" s="315"/>
      <c r="G63" s="315"/>
      <c r="I63" s="315"/>
      <c r="K63" s="315"/>
      <c r="M63" s="315"/>
      <c r="O63" s="315"/>
      <c r="Q63" s="315"/>
      <c r="S63" s="315"/>
      <c r="U63" s="315"/>
      <c r="W63" s="315"/>
      <c r="Y63" s="315"/>
      <c r="AA63" s="315"/>
      <c r="AC63" s="315"/>
      <c r="AE63" s="214"/>
      <c r="AF63" s="204"/>
      <c r="AG63" s="214"/>
      <c r="AI63" s="454"/>
      <c r="AK63" s="315"/>
      <c r="AM63" s="454"/>
      <c r="AO63" s="315"/>
      <c r="AQ63" s="454"/>
      <c r="AS63" s="454"/>
    </row>
    <row r="64" spans="1:254" ht="15.75" hidden="1" thickTop="1">
      <c r="A64" s="313"/>
      <c r="B64" s="314"/>
      <c r="C64" s="315"/>
      <c r="E64" s="315"/>
      <c r="G64" s="315"/>
      <c r="I64" s="315"/>
      <c r="K64" s="315"/>
      <c r="M64" s="315"/>
      <c r="O64" s="315"/>
      <c r="Q64" s="315"/>
      <c r="S64" s="315"/>
      <c r="U64" s="315"/>
      <c r="W64" s="315"/>
      <c r="Y64" s="315"/>
      <c r="AA64" s="315"/>
      <c r="AC64" s="315"/>
      <c r="AE64" s="214"/>
      <c r="AF64" s="204"/>
      <c r="AG64" s="214"/>
      <c r="AI64" s="454"/>
      <c r="AK64" s="315"/>
      <c r="AM64" s="454"/>
      <c r="AO64" s="315"/>
      <c r="AQ64" s="454"/>
      <c r="AS64" s="454"/>
    </row>
    <row r="65" spans="1:45" ht="15.75" hidden="1" thickTop="1">
      <c r="A65" s="313" t="s">
        <v>63</v>
      </c>
      <c r="B65" s="314"/>
      <c r="C65" s="315"/>
      <c r="E65" s="315"/>
      <c r="G65" s="315"/>
      <c r="I65" s="315"/>
      <c r="K65" s="315"/>
      <c r="M65" s="315"/>
      <c r="O65" s="315"/>
      <c r="Q65" s="315"/>
      <c r="S65" s="315"/>
      <c r="U65" s="315"/>
      <c r="W65" s="315"/>
      <c r="Y65" s="315"/>
      <c r="AA65" s="315"/>
      <c r="AC65" s="315"/>
      <c r="AE65" s="214"/>
      <c r="AF65" s="204"/>
      <c r="AG65" s="214"/>
      <c r="AI65" s="454"/>
      <c r="AK65" s="315"/>
      <c r="AM65" s="454"/>
      <c r="AO65" s="315"/>
      <c r="AQ65" s="454"/>
      <c r="AS65" s="454"/>
    </row>
    <row r="66" spans="1:45" ht="15.75" hidden="1" thickTop="1">
      <c r="A66" s="313"/>
      <c r="B66" s="314"/>
      <c r="C66" s="315"/>
      <c r="E66" s="315"/>
      <c r="G66" s="315"/>
      <c r="I66" s="315"/>
      <c r="K66" s="315"/>
      <c r="M66" s="315"/>
      <c r="O66" s="315"/>
      <c r="Q66" s="315"/>
      <c r="S66" s="315"/>
      <c r="U66" s="315"/>
      <c r="W66" s="315"/>
      <c r="Y66" s="315"/>
      <c r="AA66" s="315"/>
      <c r="AC66" s="315"/>
      <c r="AE66" s="214"/>
      <c r="AF66" s="204"/>
      <c r="AG66" s="214"/>
      <c r="AI66" s="454"/>
      <c r="AK66" s="315"/>
      <c r="AM66" s="454"/>
      <c r="AO66" s="315"/>
      <c r="AQ66" s="454"/>
      <c r="AS66" s="454"/>
    </row>
    <row r="67" spans="1:45" ht="15.75" hidden="1" thickTop="1">
      <c r="A67" s="298" t="s">
        <v>64</v>
      </c>
      <c r="B67" s="324"/>
      <c r="C67" s="307"/>
      <c r="E67" s="307"/>
      <c r="G67" s="307"/>
      <c r="I67" s="307"/>
      <c r="K67" s="307"/>
      <c r="M67" s="307"/>
      <c r="O67" s="307"/>
      <c r="Q67" s="307"/>
      <c r="S67" s="307"/>
      <c r="U67" s="307"/>
      <c r="W67" s="307"/>
      <c r="Y67" s="307"/>
      <c r="AA67" s="307"/>
      <c r="AC67" s="307"/>
      <c r="AE67" s="208"/>
      <c r="AF67" s="204"/>
      <c r="AG67" s="208"/>
      <c r="AI67" s="458"/>
      <c r="AK67" s="307"/>
      <c r="AM67" s="458"/>
      <c r="AO67" s="307"/>
      <c r="AQ67" s="458"/>
      <c r="AS67" s="458"/>
    </row>
    <row r="68" spans="1:45" ht="15.75" hidden="1" thickTop="1">
      <c r="A68" s="298" t="s">
        <v>65</v>
      </c>
      <c r="B68" s="324"/>
      <c r="C68" s="307"/>
      <c r="E68" s="307"/>
      <c r="G68" s="307"/>
      <c r="I68" s="307"/>
      <c r="K68" s="307"/>
      <c r="M68" s="307"/>
      <c r="O68" s="307"/>
      <c r="Q68" s="307"/>
      <c r="S68" s="307"/>
      <c r="U68" s="307"/>
      <c r="W68" s="307"/>
      <c r="Y68" s="307"/>
      <c r="AA68" s="307"/>
      <c r="AC68" s="307"/>
      <c r="AE68" s="208"/>
      <c r="AF68" s="204"/>
      <c r="AG68" s="208"/>
      <c r="AI68" s="458"/>
      <c r="AK68" s="307"/>
      <c r="AM68" s="458"/>
      <c r="AO68" s="307"/>
      <c r="AQ68" s="458"/>
      <c r="AS68" s="458"/>
    </row>
    <row r="69" spans="1:45" ht="15.75" hidden="1" thickTop="1">
      <c r="A69" s="298" t="s">
        <v>66</v>
      </c>
      <c r="B69" s="324"/>
      <c r="C69" s="307"/>
      <c r="E69" s="307"/>
      <c r="G69" s="307"/>
      <c r="I69" s="307"/>
      <c r="K69" s="307"/>
      <c r="M69" s="307"/>
      <c r="O69" s="307"/>
      <c r="Q69" s="307"/>
      <c r="S69" s="307"/>
      <c r="U69" s="307"/>
      <c r="W69" s="307"/>
      <c r="Y69" s="307"/>
      <c r="AA69" s="307"/>
      <c r="AC69" s="307"/>
      <c r="AE69" s="208"/>
      <c r="AF69" s="204"/>
      <c r="AG69" s="208"/>
      <c r="AI69" s="458"/>
      <c r="AK69" s="307"/>
      <c r="AM69" s="458"/>
      <c r="AO69" s="307"/>
      <c r="AQ69" s="458"/>
      <c r="AS69" s="458"/>
    </row>
    <row r="70" spans="1:45" ht="15.75" hidden="1" thickTop="1">
      <c r="A70" s="298" t="s">
        <v>67</v>
      </c>
      <c r="B70" s="324"/>
      <c r="C70" s="307"/>
      <c r="E70" s="307"/>
      <c r="G70" s="307"/>
      <c r="I70" s="307"/>
      <c r="K70" s="307"/>
      <c r="M70" s="307"/>
      <c r="O70" s="307"/>
      <c r="Q70" s="307"/>
      <c r="S70" s="307"/>
      <c r="U70" s="307"/>
      <c r="W70" s="307"/>
      <c r="Y70" s="307"/>
      <c r="AA70" s="307"/>
      <c r="AC70" s="307"/>
      <c r="AE70" s="208"/>
      <c r="AF70" s="204"/>
      <c r="AG70" s="208"/>
      <c r="AI70" s="458"/>
      <c r="AK70" s="307"/>
      <c r="AM70" s="458"/>
      <c r="AO70" s="307"/>
      <c r="AQ70" s="458"/>
      <c r="AS70" s="458"/>
    </row>
    <row r="71" spans="1:45" ht="15.75" hidden="1" thickTop="1">
      <c r="A71" s="298" t="s">
        <v>68</v>
      </c>
      <c r="B71" s="324"/>
      <c r="C71" s="307"/>
      <c r="E71" s="307"/>
      <c r="G71" s="307"/>
      <c r="I71" s="307"/>
      <c r="K71" s="307"/>
      <c r="M71" s="307"/>
      <c r="O71" s="307"/>
      <c r="Q71" s="307"/>
      <c r="S71" s="307"/>
      <c r="U71" s="307"/>
      <c r="W71" s="307"/>
      <c r="Y71" s="307"/>
      <c r="AA71" s="307"/>
      <c r="AC71" s="307"/>
      <c r="AE71" s="208"/>
      <c r="AF71" s="204"/>
      <c r="AG71" s="208"/>
      <c r="AI71" s="458"/>
      <c r="AK71" s="307"/>
      <c r="AM71" s="458"/>
      <c r="AO71" s="307"/>
      <c r="AQ71" s="458"/>
      <c r="AS71" s="458"/>
    </row>
    <row r="72" spans="1:45" ht="15.75" hidden="1" thickTop="1">
      <c r="A72" s="298" t="s">
        <v>42</v>
      </c>
      <c r="B72" s="324"/>
      <c r="C72" s="307"/>
      <c r="E72" s="307"/>
      <c r="G72" s="307"/>
      <c r="I72" s="307"/>
      <c r="K72" s="307"/>
      <c r="M72" s="307"/>
      <c r="O72" s="307"/>
      <c r="Q72" s="307"/>
      <c r="S72" s="307"/>
      <c r="U72" s="307"/>
      <c r="W72" s="307"/>
      <c r="Y72" s="307"/>
      <c r="AA72" s="307"/>
      <c r="AC72" s="307"/>
      <c r="AE72" s="208"/>
      <c r="AF72" s="204"/>
      <c r="AG72" s="208"/>
      <c r="AI72" s="458"/>
      <c r="AK72" s="307"/>
      <c r="AM72" s="458"/>
      <c r="AO72" s="307"/>
      <c r="AQ72" s="458"/>
      <c r="AS72" s="458"/>
    </row>
    <row r="73" spans="1:45" ht="15.75" hidden="1" thickTop="1">
      <c r="A73" s="298" t="s">
        <v>69</v>
      </c>
      <c r="B73" s="324"/>
      <c r="C73" s="307"/>
      <c r="E73" s="307"/>
      <c r="G73" s="307"/>
      <c r="I73" s="307"/>
      <c r="K73" s="307"/>
      <c r="M73" s="307"/>
      <c r="O73" s="307"/>
      <c r="Q73" s="307"/>
      <c r="S73" s="307"/>
      <c r="U73" s="307"/>
      <c r="W73" s="307"/>
      <c r="Y73" s="307"/>
      <c r="AA73" s="307"/>
      <c r="AC73" s="307"/>
      <c r="AE73" s="208"/>
      <c r="AF73" s="204"/>
      <c r="AG73" s="208"/>
      <c r="AI73" s="458"/>
      <c r="AK73" s="307"/>
      <c r="AM73" s="458"/>
      <c r="AO73" s="307"/>
      <c r="AQ73" s="458"/>
      <c r="AS73" s="458"/>
    </row>
    <row r="74" spans="1:45" ht="15.75" hidden="1" thickTop="1">
      <c r="A74" s="298" t="s">
        <v>70</v>
      </c>
      <c r="B74" s="324"/>
      <c r="C74" s="307"/>
      <c r="E74" s="307"/>
      <c r="G74" s="307"/>
      <c r="I74" s="307"/>
      <c r="K74" s="307"/>
      <c r="M74" s="307"/>
      <c r="O74" s="307"/>
      <c r="Q74" s="307"/>
      <c r="S74" s="307"/>
      <c r="U74" s="307"/>
      <c r="W74" s="307"/>
      <c r="Y74" s="307"/>
      <c r="AA74" s="307"/>
      <c r="AC74" s="307"/>
      <c r="AE74" s="208"/>
      <c r="AF74" s="204"/>
      <c r="AG74" s="208"/>
      <c r="AI74" s="458"/>
      <c r="AK74" s="307"/>
      <c r="AM74" s="458"/>
      <c r="AO74" s="307"/>
      <c r="AQ74" s="458"/>
      <c r="AS74" s="458"/>
    </row>
    <row r="75" spans="1:45" ht="15.75" hidden="1" thickTop="1">
      <c r="A75" s="298" t="s">
        <v>71</v>
      </c>
      <c r="B75" s="324"/>
      <c r="C75" s="307"/>
      <c r="E75" s="307"/>
      <c r="G75" s="307"/>
      <c r="I75" s="307"/>
      <c r="K75" s="307"/>
      <c r="M75" s="307"/>
      <c r="O75" s="307"/>
      <c r="Q75" s="307"/>
      <c r="S75" s="307"/>
      <c r="U75" s="307"/>
      <c r="W75" s="307"/>
      <c r="Y75" s="307"/>
      <c r="AA75" s="307"/>
      <c r="AC75" s="307"/>
      <c r="AE75" s="208"/>
      <c r="AF75" s="204"/>
      <c r="AG75" s="208"/>
      <c r="AI75" s="458"/>
      <c r="AK75" s="307"/>
      <c r="AM75" s="458"/>
      <c r="AO75" s="307"/>
      <c r="AQ75" s="458"/>
      <c r="AS75" s="458"/>
    </row>
    <row r="76" spans="1:45" ht="15.75" hidden="1" thickTop="1">
      <c r="A76" s="325"/>
      <c r="B76" s="326"/>
      <c r="C76" s="327"/>
      <c r="E76" s="327"/>
      <c r="G76" s="327"/>
      <c r="I76" s="327"/>
      <c r="K76" s="327"/>
      <c r="M76" s="327"/>
      <c r="O76" s="327"/>
      <c r="Q76" s="327"/>
      <c r="S76" s="327"/>
      <c r="U76" s="327"/>
      <c r="W76" s="327"/>
      <c r="Y76" s="327"/>
      <c r="AA76" s="327"/>
      <c r="AC76" s="327"/>
      <c r="AE76" s="217"/>
      <c r="AF76" s="204"/>
      <c r="AG76" s="217"/>
      <c r="AI76" s="459"/>
      <c r="AK76" s="327"/>
      <c r="AM76" s="459"/>
      <c r="AO76" s="327"/>
      <c r="AQ76" s="459"/>
      <c r="AS76" s="459"/>
    </row>
    <row r="77" spans="1:45" ht="15.75" hidden="1" thickTop="1">
      <c r="A77" s="298" t="s">
        <v>72</v>
      </c>
      <c r="B77" s="324"/>
      <c r="C77" s="307"/>
      <c r="E77" s="307"/>
      <c r="G77" s="307"/>
      <c r="I77" s="307"/>
      <c r="K77" s="307"/>
      <c r="M77" s="307"/>
      <c r="O77" s="307"/>
      <c r="Q77" s="307"/>
      <c r="S77" s="307"/>
      <c r="U77" s="307"/>
      <c r="W77" s="307"/>
      <c r="Y77" s="307"/>
      <c r="AA77" s="307"/>
      <c r="AC77" s="307"/>
      <c r="AE77" s="208"/>
      <c r="AF77" s="204"/>
      <c r="AG77" s="208"/>
      <c r="AI77" s="458"/>
      <c r="AK77" s="307"/>
      <c r="AM77" s="458"/>
      <c r="AO77" s="307"/>
      <c r="AQ77" s="458"/>
      <c r="AS77" s="458"/>
    </row>
    <row r="78" spans="1:45" ht="15.75" hidden="1" thickTop="1">
      <c r="A78" s="298" t="s">
        <v>73</v>
      </c>
      <c r="B78" s="324"/>
      <c r="C78" s="307"/>
      <c r="E78" s="307"/>
      <c r="G78" s="307"/>
      <c r="I78" s="307"/>
      <c r="K78" s="307"/>
      <c r="M78" s="307"/>
      <c r="O78" s="307"/>
      <c r="Q78" s="307"/>
      <c r="S78" s="307"/>
      <c r="U78" s="307"/>
      <c r="W78" s="307"/>
      <c r="Y78" s="307"/>
      <c r="AA78" s="307"/>
      <c r="AC78" s="307"/>
      <c r="AE78" s="208"/>
      <c r="AF78" s="204"/>
      <c r="AG78" s="208"/>
      <c r="AI78" s="458"/>
      <c r="AK78" s="307"/>
      <c r="AM78" s="458"/>
      <c r="AO78" s="307"/>
      <c r="AQ78" s="458"/>
      <c r="AS78" s="458"/>
    </row>
    <row r="79" spans="1:45" ht="15.75" hidden="1" thickTop="1">
      <c r="A79" s="298"/>
      <c r="B79" s="324"/>
      <c r="C79" s="307"/>
      <c r="E79" s="307"/>
      <c r="G79" s="307"/>
      <c r="I79" s="307"/>
      <c r="K79" s="307"/>
      <c r="M79" s="307"/>
      <c r="O79" s="307"/>
      <c r="Q79" s="307"/>
      <c r="S79" s="307"/>
      <c r="U79" s="307"/>
      <c r="W79" s="307"/>
      <c r="Y79" s="307"/>
      <c r="AA79" s="307"/>
      <c r="AC79" s="307"/>
      <c r="AE79" s="208"/>
      <c r="AF79" s="204"/>
      <c r="AG79" s="208"/>
      <c r="AI79" s="458"/>
      <c r="AK79" s="307"/>
      <c r="AM79" s="458"/>
      <c r="AO79" s="307"/>
      <c r="AQ79" s="458"/>
      <c r="AS79" s="458"/>
    </row>
    <row r="80" spans="1:45" ht="15.75" hidden="1" thickTop="1">
      <c r="A80" s="298" t="s">
        <v>74</v>
      </c>
      <c r="B80" s="324"/>
      <c r="C80" s="307"/>
      <c r="E80" s="307"/>
      <c r="G80" s="307"/>
      <c r="I80" s="307"/>
      <c r="K80" s="307"/>
      <c r="M80" s="307"/>
      <c r="O80" s="307"/>
      <c r="Q80" s="307"/>
      <c r="S80" s="307"/>
      <c r="U80" s="307"/>
      <c r="W80" s="307"/>
      <c r="Y80" s="307"/>
      <c r="AA80" s="307"/>
      <c r="AC80" s="307"/>
      <c r="AE80" s="208"/>
      <c r="AF80" s="204"/>
      <c r="AG80" s="208"/>
      <c r="AI80" s="458"/>
      <c r="AK80" s="307"/>
      <c r="AM80" s="458"/>
      <c r="AO80" s="307"/>
      <c r="AQ80" s="458"/>
      <c r="AS80" s="458"/>
    </row>
    <row r="81" spans="1:33" ht="15.75" hidden="1" thickTop="1">
      <c r="AE81" s="203"/>
      <c r="AF81" s="204"/>
      <c r="AG81" s="203"/>
    </row>
    <row r="82" spans="1:33" ht="15.75" hidden="1" thickTop="1">
      <c r="A82" s="130" t="s">
        <v>75</v>
      </c>
      <c r="AE82" s="203"/>
      <c r="AF82" s="204"/>
      <c r="AG82" s="203"/>
    </row>
    <row r="83" spans="1:33" ht="15.75" hidden="1" thickTop="1">
      <c r="A83" s="130" t="s">
        <v>76</v>
      </c>
      <c r="AE83" s="203"/>
      <c r="AF83" s="204"/>
      <c r="AG83" s="203"/>
    </row>
    <row r="84" spans="1:33" ht="15.75" hidden="1" thickTop="1">
      <c r="A84" s="130" t="s">
        <v>77</v>
      </c>
      <c r="AE84" s="203"/>
      <c r="AF84" s="204"/>
      <c r="AG84" s="203"/>
    </row>
    <row r="85" spans="1:33" ht="15.75" hidden="1" thickTop="1">
      <c r="A85" s="130" t="s">
        <v>78</v>
      </c>
      <c r="AE85" s="203"/>
      <c r="AF85" s="204"/>
      <c r="AG85" s="203"/>
    </row>
    <row r="86" spans="1:33" ht="15.75" hidden="1" thickTop="1">
      <c r="AE86" s="203"/>
      <c r="AF86" s="204"/>
      <c r="AG86" s="203"/>
    </row>
    <row r="87" spans="1:33" ht="15.75" hidden="1" thickTop="1">
      <c r="AE87" s="203"/>
      <c r="AF87" s="204"/>
      <c r="AG87" s="203"/>
    </row>
    <row r="88" spans="1:33" ht="15.75" hidden="1" thickTop="1">
      <c r="AE88" s="203"/>
      <c r="AF88" s="204"/>
      <c r="AG88" s="203"/>
    </row>
    <row r="89" spans="1:33" ht="15.75" hidden="1" thickTop="1">
      <c r="A89" s="130" t="s">
        <v>79</v>
      </c>
      <c r="AE89" s="203"/>
      <c r="AF89" s="204"/>
      <c r="AG89" s="203"/>
    </row>
    <row r="90" spans="1:33" ht="15.75" hidden="1" thickTop="1">
      <c r="AE90" s="203"/>
      <c r="AF90" s="204"/>
      <c r="AG90" s="203"/>
    </row>
    <row r="91" spans="1:33" ht="15.75" hidden="1" thickTop="1">
      <c r="AE91" s="203"/>
      <c r="AF91" s="204"/>
      <c r="AG91" s="203"/>
    </row>
    <row r="92" spans="1:33" ht="15.75" hidden="1" thickTop="1">
      <c r="AE92" s="203"/>
      <c r="AF92" s="204"/>
      <c r="AG92" s="203"/>
    </row>
    <row r="93" spans="1:33" ht="15.75" hidden="1" thickTop="1">
      <c r="AE93" s="203"/>
      <c r="AF93" s="204"/>
      <c r="AG93" s="203"/>
    </row>
    <row r="94" spans="1:33" ht="15.75" hidden="1" thickTop="1">
      <c r="AE94" s="203"/>
      <c r="AF94" s="204"/>
      <c r="AG94" s="203"/>
    </row>
    <row r="95" spans="1:33" ht="15.75" hidden="1" thickTop="1">
      <c r="AE95" s="203"/>
      <c r="AF95" s="204"/>
      <c r="AG95" s="203"/>
    </row>
    <row r="96" spans="1:33" ht="15.75" hidden="1" thickTop="1">
      <c r="AE96" s="203"/>
      <c r="AF96" s="204"/>
      <c r="AG96" s="203"/>
    </row>
    <row r="97" spans="31:33" ht="15.75" hidden="1" thickTop="1">
      <c r="AE97" s="203"/>
      <c r="AF97" s="204"/>
      <c r="AG97" s="203"/>
    </row>
    <row r="98" spans="31:33" ht="15.75" hidden="1" thickTop="1">
      <c r="AE98" s="203"/>
      <c r="AF98" s="204"/>
      <c r="AG98" s="203"/>
    </row>
    <row r="99" spans="31:33" ht="15.75" hidden="1" thickTop="1">
      <c r="AE99" s="203"/>
      <c r="AF99" s="204"/>
      <c r="AG99" s="203"/>
    </row>
    <row r="100" spans="31:33" ht="15.75" hidden="1" thickTop="1">
      <c r="AE100" s="203"/>
      <c r="AF100" s="204"/>
      <c r="AG100" s="203"/>
    </row>
    <row r="101" spans="31:33" ht="15.75" hidden="1" thickTop="1">
      <c r="AE101" s="203"/>
      <c r="AF101" s="204"/>
      <c r="AG101" s="203"/>
    </row>
    <row r="102" spans="31:33" ht="15.75" hidden="1" thickTop="1">
      <c r="AE102" s="203"/>
      <c r="AF102" s="204"/>
      <c r="AG102" s="203"/>
    </row>
    <row r="103" spans="31:33" ht="15.75" hidden="1" thickTop="1">
      <c r="AE103" s="203"/>
      <c r="AF103" s="204"/>
      <c r="AG103" s="203"/>
    </row>
    <row r="104" spans="31:33" ht="15.75" hidden="1" thickTop="1">
      <c r="AE104" s="203"/>
      <c r="AF104" s="204"/>
      <c r="AG104" s="203"/>
    </row>
    <row r="105" spans="31:33" ht="15.75" hidden="1" thickTop="1">
      <c r="AE105" s="203"/>
      <c r="AF105" s="204"/>
      <c r="AG105" s="203"/>
    </row>
    <row r="106" spans="31:33" ht="15.75" hidden="1" thickTop="1">
      <c r="AE106" s="203"/>
      <c r="AF106" s="204"/>
      <c r="AG106" s="203"/>
    </row>
    <row r="107" spans="31:33" ht="15.75" hidden="1" thickTop="1">
      <c r="AE107" s="203"/>
      <c r="AF107" s="204"/>
      <c r="AG107" s="203"/>
    </row>
    <row r="108" spans="31:33" ht="15.75" hidden="1" thickTop="1">
      <c r="AE108" s="203"/>
      <c r="AF108" s="204"/>
      <c r="AG108" s="203"/>
    </row>
    <row r="109" spans="31:33" ht="15.75" hidden="1" thickTop="1">
      <c r="AE109" s="203"/>
      <c r="AF109" s="204"/>
      <c r="AG109" s="203"/>
    </row>
    <row r="110" spans="31:33" ht="15.75" hidden="1" thickTop="1">
      <c r="AE110" s="203"/>
      <c r="AF110" s="204"/>
      <c r="AG110" s="203"/>
    </row>
    <row r="111" spans="31:33" ht="15.75" hidden="1" thickTop="1">
      <c r="AE111" s="203"/>
      <c r="AF111" s="204"/>
      <c r="AG111" s="203"/>
    </row>
    <row r="112" spans="31:33" ht="15.75" hidden="1" thickTop="1">
      <c r="AE112" s="203"/>
      <c r="AF112" s="204"/>
      <c r="AG112" s="203"/>
    </row>
    <row r="113" spans="31:33" ht="15.75" hidden="1" thickTop="1">
      <c r="AE113" s="203"/>
      <c r="AF113" s="204"/>
      <c r="AG113" s="203"/>
    </row>
    <row r="114" spans="31:33" ht="15.75" hidden="1" thickTop="1">
      <c r="AE114" s="203"/>
      <c r="AF114" s="204"/>
      <c r="AG114" s="203"/>
    </row>
    <row r="115" spans="31:33" ht="15.75" hidden="1" thickTop="1">
      <c r="AE115" s="203"/>
      <c r="AF115" s="204"/>
      <c r="AG115" s="203"/>
    </row>
    <row r="116" spans="31:33" ht="15.75" hidden="1" thickTop="1">
      <c r="AE116" s="203"/>
      <c r="AF116" s="204"/>
      <c r="AG116" s="203"/>
    </row>
    <row r="117" spans="31:33" ht="15.75" hidden="1" thickTop="1">
      <c r="AE117" s="203"/>
      <c r="AF117" s="204"/>
      <c r="AG117" s="203"/>
    </row>
    <row r="118" spans="31:33" ht="15.75" hidden="1" thickTop="1">
      <c r="AE118" s="203"/>
      <c r="AF118" s="204"/>
      <c r="AG118" s="203"/>
    </row>
    <row r="119" spans="31:33" ht="15.75" thickTop="1">
      <c r="AE119" s="203"/>
      <c r="AF119" s="204"/>
      <c r="AG119" s="203"/>
    </row>
    <row r="120" spans="31:33">
      <c r="AE120" s="203"/>
      <c r="AF120" s="204"/>
      <c r="AG120" s="203"/>
    </row>
    <row r="121" spans="31:33">
      <c r="AE121" s="203"/>
      <c r="AF121" s="204"/>
      <c r="AG121" s="203"/>
    </row>
    <row r="122" spans="31:33">
      <c r="AE122" s="203"/>
      <c r="AF122" s="204"/>
      <c r="AG122" s="203"/>
    </row>
    <row r="123" spans="31:33">
      <c r="AE123" s="203"/>
      <c r="AF123" s="204"/>
      <c r="AG123" s="203"/>
    </row>
    <row r="124" spans="31:33">
      <c r="AE124" s="203"/>
      <c r="AF124" s="204"/>
      <c r="AG124" s="203"/>
    </row>
    <row r="125" spans="31:33">
      <c r="AE125" s="203"/>
      <c r="AF125" s="204"/>
      <c r="AG125" s="203"/>
    </row>
    <row r="126" spans="31:33">
      <c r="AE126" s="203"/>
      <c r="AF126" s="204"/>
      <c r="AG126" s="203"/>
    </row>
    <row r="127" spans="31:33">
      <c r="AE127" s="203"/>
      <c r="AF127" s="204"/>
      <c r="AG127" s="203"/>
    </row>
    <row r="128" spans="31:33">
      <c r="AE128" s="203"/>
      <c r="AF128" s="204"/>
      <c r="AG128" s="203"/>
    </row>
    <row r="129" spans="31:33">
      <c r="AE129" s="203"/>
      <c r="AF129" s="204"/>
      <c r="AG129" s="203"/>
    </row>
    <row r="130" spans="31:33">
      <c r="AE130" s="203"/>
      <c r="AF130" s="204"/>
      <c r="AG130" s="203"/>
    </row>
    <row r="131" spans="31:33">
      <c r="AE131" s="203"/>
      <c r="AF131" s="204"/>
      <c r="AG131" s="203"/>
    </row>
    <row r="132" spans="31:33">
      <c r="AE132" s="203"/>
      <c r="AF132" s="204"/>
      <c r="AG132" s="203"/>
    </row>
    <row r="133" spans="31:33">
      <c r="AE133" s="203"/>
      <c r="AF133" s="204"/>
      <c r="AG133" s="203"/>
    </row>
    <row r="134" spans="31:33">
      <c r="AE134" s="203"/>
      <c r="AF134" s="204"/>
      <c r="AG134" s="203"/>
    </row>
    <row r="135" spans="31:33">
      <c r="AE135" s="203"/>
      <c r="AF135" s="204"/>
      <c r="AG135" s="203"/>
    </row>
    <row r="136" spans="31:33">
      <c r="AE136" s="203"/>
      <c r="AF136" s="204"/>
      <c r="AG136" s="203"/>
    </row>
    <row r="137" spans="31:33">
      <c r="AE137" s="203"/>
      <c r="AF137" s="204"/>
      <c r="AG137" s="203"/>
    </row>
    <row r="138" spans="31:33">
      <c r="AE138" s="203"/>
      <c r="AF138" s="204"/>
      <c r="AG138" s="203"/>
    </row>
    <row r="139" spans="31:33">
      <c r="AE139" s="203"/>
      <c r="AF139" s="204"/>
      <c r="AG139" s="203"/>
    </row>
    <row r="140" spans="31:33">
      <c r="AE140" s="203"/>
      <c r="AF140" s="204"/>
      <c r="AG140" s="203"/>
    </row>
    <row r="141" spans="31:33">
      <c r="AE141" s="203"/>
      <c r="AF141" s="204"/>
      <c r="AG141" s="203"/>
    </row>
    <row r="142" spans="31:33">
      <c r="AE142" s="203"/>
      <c r="AF142" s="204"/>
      <c r="AG142" s="203"/>
    </row>
    <row r="143" spans="31:33">
      <c r="AE143" s="203"/>
      <c r="AF143" s="204"/>
      <c r="AG143" s="203"/>
    </row>
    <row r="144" spans="31:33">
      <c r="AE144" s="203"/>
      <c r="AF144" s="204"/>
      <c r="AG144" s="203"/>
    </row>
    <row r="145" spans="31:33">
      <c r="AE145" s="203"/>
      <c r="AF145" s="204"/>
      <c r="AG145" s="203"/>
    </row>
    <row r="146" spans="31:33">
      <c r="AE146" s="203"/>
      <c r="AF146" s="204"/>
      <c r="AG146" s="203"/>
    </row>
    <row r="147" spans="31:33">
      <c r="AE147" s="203"/>
      <c r="AF147" s="204"/>
      <c r="AG147" s="203"/>
    </row>
    <row r="148" spans="31:33">
      <c r="AE148" s="203"/>
      <c r="AF148" s="204"/>
      <c r="AG148" s="203"/>
    </row>
    <row r="149" spans="31:33">
      <c r="AE149" s="203"/>
      <c r="AF149" s="204"/>
      <c r="AG149" s="203"/>
    </row>
    <row r="150" spans="31:33">
      <c r="AE150" s="203"/>
      <c r="AF150" s="204"/>
      <c r="AG150" s="203"/>
    </row>
    <row r="151" spans="31:33">
      <c r="AE151" s="203"/>
      <c r="AF151" s="204"/>
      <c r="AG151" s="203"/>
    </row>
    <row r="152" spans="31:33">
      <c r="AE152" s="203"/>
      <c r="AF152" s="204"/>
      <c r="AG152" s="203"/>
    </row>
    <row r="153" spans="31:33">
      <c r="AE153" s="203"/>
      <c r="AF153" s="204"/>
      <c r="AG153" s="203"/>
    </row>
    <row r="154" spans="31:33">
      <c r="AE154" s="203"/>
      <c r="AF154" s="204"/>
      <c r="AG154" s="203"/>
    </row>
    <row r="155" spans="31:33">
      <c r="AE155" s="203"/>
      <c r="AF155" s="204"/>
      <c r="AG155" s="203"/>
    </row>
    <row r="156" spans="31:33">
      <c r="AE156" s="203"/>
      <c r="AF156" s="204"/>
      <c r="AG156" s="203"/>
    </row>
    <row r="157" spans="31:33">
      <c r="AE157" s="203"/>
      <c r="AF157" s="204"/>
      <c r="AG157" s="203"/>
    </row>
    <row r="158" spans="31:33">
      <c r="AE158" s="203"/>
      <c r="AF158" s="204"/>
      <c r="AG158" s="203"/>
    </row>
    <row r="159" spans="31:33">
      <c r="AE159" s="203"/>
      <c r="AF159" s="204"/>
      <c r="AG159" s="203"/>
    </row>
    <row r="160" spans="31:33">
      <c r="AE160" s="203"/>
      <c r="AF160" s="204"/>
      <c r="AG160" s="203"/>
    </row>
    <row r="161" spans="31:33">
      <c r="AE161" s="203"/>
      <c r="AF161" s="204"/>
      <c r="AG161" s="203"/>
    </row>
    <row r="162" spans="31:33">
      <c r="AE162" s="203"/>
      <c r="AF162" s="204"/>
      <c r="AG162" s="203"/>
    </row>
    <row r="163" spans="31:33">
      <c r="AE163" s="203"/>
      <c r="AF163" s="204"/>
      <c r="AG163" s="203"/>
    </row>
    <row r="164" spans="31:33">
      <c r="AE164" s="203"/>
      <c r="AF164" s="204"/>
      <c r="AG164" s="203"/>
    </row>
    <row r="165" spans="31:33">
      <c r="AE165" s="203"/>
      <c r="AF165" s="204"/>
      <c r="AG165" s="203"/>
    </row>
    <row r="166" spans="31:33">
      <c r="AE166" s="203"/>
      <c r="AF166" s="204"/>
      <c r="AG166" s="203"/>
    </row>
    <row r="167" spans="31:33">
      <c r="AE167" s="203"/>
      <c r="AF167" s="204"/>
      <c r="AG167" s="203"/>
    </row>
    <row r="168" spans="31:33">
      <c r="AE168" s="203"/>
      <c r="AF168" s="204"/>
      <c r="AG168" s="203"/>
    </row>
    <row r="169" spans="31:33">
      <c r="AE169" s="203"/>
      <c r="AF169" s="204"/>
      <c r="AG169" s="203"/>
    </row>
    <row r="170" spans="31:33">
      <c r="AE170" s="203"/>
      <c r="AF170" s="204"/>
      <c r="AG170" s="203"/>
    </row>
    <row r="171" spans="31:33">
      <c r="AE171" s="203"/>
      <c r="AF171" s="204"/>
      <c r="AG171" s="203"/>
    </row>
    <row r="172" spans="31:33">
      <c r="AE172" s="203"/>
      <c r="AF172" s="204"/>
      <c r="AG172" s="203"/>
    </row>
    <row r="173" spans="31:33">
      <c r="AE173" s="203"/>
      <c r="AF173" s="204"/>
      <c r="AG173" s="203"/>
    </row>
    <row r="174" spans="31:33">
      <c r="AE174" s="203"/>
      <c r="AF174" s="204"/>
      <c r="AG174" s="203"/>
    </row>
    <row r="175" spans="31:33">
      <c r="AE175" s="203"/>
      <c r="AF175" s="204"/>
      <c r="AG175" s="203"/>
    </row>
    <row r="176" spans="31:33">
      <c r="AE176" s="203"/>
      <c r="AF176" s="204"/>
      <c r="AG176" s="203"/>
    </row>
    <row r="177" spans="31:33">
      <c r="AE177" s="203"/>
      <c r="AF177" s="204"/>
      <c r="AG177" s="203"/>
    </row>
    <row r="178" spans="31:33">
      <c r="AE178" s="203"/>
      <c r="AF178" s="204"/>
      <c r="AG178" s="203"/>
    </row>
    <row r="179" spans="31:33">
      <c r="AE179" s="203"/>
      <c r="AF179" s="204"/>
      <c r="AG179" s="203"/>
    </row>
    <row r="180" spans="31:33">
      <c r="AE180" s="203"/>
      <c r="AF180" s="204"/>
      <c r="AG180" s="203"/>
    </row>
    <row r="181" spans="31:33">
      <c r="AE181" s="203"/>
      <c r="AF181" s="204"/>
      <c r="AG181" s="203"/>
    </row>
    <row r="182" spans="31:33">
      <c r="AE182" s="203"/>
      <c r="AF182" s="204"/>
      <c r="AG182" s="203"/>
    </row>
    <row r="183" spans="31:33">
      <c r="AE183" s="203"/>
      <c r="AF183" s="204"/>
      <c r="AG183" s="203"/>
    </row>
    <row r="184" spans="31:33">
      <c r="AE184" s="203"/>
      <c r="AF184" s="204"/>
      <c r="AG184" s="203"/>
    </row>
    <row r="185" spans="31:33">
      <c r="AE185" s="203"/>
      <c r="AF185" s="204"/>
      <c r="AG185" s="203"/>
    </row>
    <row r="186" spans="31:33">
      <c r="AE186" s="203"/>
      <c r="AF186" s="204"/>
      <c r="AG186" s="203"/>
    </row>
    <row r="187" spans="31:33">
      <c r="AE187" s="203"/>
      <c r="AF187" s="204"/>
      <c r="AG187" s="203"/>
    </row>
    <row r="188" spans="31:33">
      <c r="AE188" s="203"/>
      <c r="AF188" s="204"/>
      <c r="AG188" s="203"/>
    </row>
    <row r="189" spans="31:33">
      <c r="AE189" s="203"/>
      <c r="AF189" s="204"/>
      <c r="AG189" s="203"/>
    </row>
    <row r="190" spans="31:33">
      <c r="AE190" s="203"/>
      <c r="AF190" s="204"/>
      <c r="AG190" s="203"/>
    </row>
    <row r="191" spans="31:33">
      <c r="AE191" s="203"/>
      <c r="AF191" s="204"/>
      <c r="AG191" s="203"/>
    </row>
    <row r="192" spans="31:33">
      <c r="AE192" s="203"/>
      <c r="AF192" s="204"/>
      <c r="AG192" s="203"/>
    </row>
    <row r="193" spans="31:33">
      <c r="AE193" s="203"/>
      <c r="AF193" s="204"/>
      <c r="AG193" s="203"/>
    </row>
    <row r="194" spans="31:33">
      <c r="AE194" s="203"/>
      <c r="AF194" s="204"/>
      <c r="AG194" s="203"/>
    </row>
    <row r="195" spans="31:33">
      <c r="AE195" s="203"/>
      <c r="AF195" s="204"/>
      <c r="AG195" s="203"/>
    </row>
    <row r="196" spans="31:33">
      <c r="AE196" s="203"/>
      <c r="AF196" s="204"/>
      <c r="AG196" s="203"/>
    </row>
    <row r="197" spans="31:33">
      <c r="AE197" s="203"/>
      <c r="AF197" s="204"/>
      <c r="AG197" s="203"/>
    </row>
    <row r="198" spans="31:33">
      <c r="AE198" s="203"/>
      <c r="AF198" s="204"/>
      <c r="AG198" s="203"/>
    </row>
    <row r="199" spans="31:33">
      <c r="AE199" s="203"/>
      <c r="AF199" s="204"/>
      <c r="AG199" s="203"/>
    </row>
    <row r="200" spans="31:33">
      <c r="AE200" s="203"/>
      <c r="AF200" s="204"/>
      <c r="AG200" s="203"/>
    </row>
    <row r="201" spans="31:33">
      <c r="AE201" s="203"/>
      <c r="AF201" s="204"/>
      <c r="AG201" s="203"/>
    </row>
    <row r="202" spans="31:33">
      <c r="AE202" s="203"/>
      <c r="AF202" s="204"/>
      <c r="AG202" s="203"/>
    </row>
    <row r="203" spans="31:33">
      <c r="AE203" s="203"/>
      <c r="AF203" s="204"/>
      <c r="AG203" s="203"/>
    </row>
    <row r="204" spans="31:33">
      <c r="AE204" s="203"/>
      <c r="AF204" s="204"/>
      <c r="AG204" s="203"/>
    </row>
    <row r="205" spans="31:33">
      <c r="AE205" s="203"/>
      <c r="AF205" s="204"/>
      <c r="AG205" s="203"/>
    </row>
    <row r="206" spans="31:33">
      <c r="AE206" s="203"/>
      <c r="AF206" s="204"/>
      <c r="AG206" s="203"/>
    </row>
    <row r="207" spans="31:33">
      <c r="AE207" s="203"/>
      <c r="AF207" s="204"/>
      <c r="AG207" s="203"/>
    </row>
    <row r="208" spans="31:33">
      <c r="AE208" s="203"/>
      <c r="AF208" s="204"/>
      <c r="AG208" s="203"/>
    </row>
    <row r="209" spans="31:33">
      <c r="AE209" s="203"/>
      <c r="AF209" s="204"/>
      <c r="AG209" s="203"/>
    </row>
    <row r="210" spans="31:33">
      <c r="AE210" s="203"/>
      <c r="AF210" s="204"/>
      <c r="AG210" s="203"/>
    </row>
    <row r="211" spans="31:33">
      <c r="AE211" s="203"/>
      <c r="AF211" s="204"/>
      <c r="AG211" s="203"/>
    </row>
    <row r="212" spans="31:33">
      <c r="AE212" s="203"/>
      <c r="AF212" s="204"/>
      <c r="AG212" s="203"/>
    </row>
    <row r="213" spans="31:33">
      <c r="AE213" s="203"/>
      <c r="AF213" s="204"/>
      <c r="AG213" s="203"/>
    </row>
    <row r="214" spans="31:33">
      <c r="AE214" s="203"/>
      <c r="AF214" s="204"/>
      <c r="AG214" s="203"/>
    </row>
    <row r="215" spans="31:33">
      <c r="AE215" s="203"/>
      <c r="AF215" s="204"/>
      <c r="AG215" s="203"/>
    </row>
    <row r="216" spans="31:33">
      <c r="AE216" s="203"/>
      <c r="AF216" s="204"/>
      <c r="AG216" s="203"/>
    </row>
    <row r="217" spans="31:33">
      <c r="AE217" s="203"/>
      <c r="AF217" s="204"/>
      <c r="AG217" s="203"/>
    </row>
    <row r="218" spans="31:33">
      <c r="AE218" s="203"/>
      <c r="AF218" s="204"/>
      <c r="AG218" s="203"/>
    </row>
    <row r="219" spans="31:33">
      <c r="AE219" s="203"/>
      <c r="AF219" s="204"/>
      <c r="AG219" s="203"/>
    </row>
    <row r="220" spans="31:33">
      <c r="AE220" s="203"/>
      <c r="AF220" s="204"/>
      <c r="AG220" s="203"/>
    </row>
    <row r="221" spans="31:33">
      <c r="AE221" s="203"/>
      <c r="AF221" s="204"/>
      <c r="AG221" s="203"/>
    </row>
    <row r="222" spans="31:33">
      <c r="AE222" s="203"/>
      <c r="AF222" s="204"/>
      <c r="AG222" s="203"/>
    </row>
    <row r="223" spans="31:33">
      <c r="AE223" s="203"/>
      <c r="AF223" s="204"/>
      <c r="AG223" s="203"/>
    </row>
    <row r="224" spans="31:33">
      <c r="AE224" s="203"/>
      <c r="AF224" s="204"/>
      <c r="AG224" s="203"/>
    </row>
    <row r="225" spans="31:33">
      <c r="AE225" s="203"/>
      <c r="AF225" s="204"/>
      <c r="AG225" s="203"/>
    </row>
    <row r="226" spans="31:33">
      <c r="AE226" s="203"/>
      <c r="AF226" s="204"/>
      <c r="AG226" s="203"/>
    </row>
    <row r="227" spans="31:33">
      <c r="AE227" s="203"/>
      <c r="AF227" s="204"/>
      <c r="AG227" s="203"/>
    </row>
    <row r="228" spans="31:33">
      <c r="AE228" s="203"/>
      <c r="AF228" s="204"/>
      <c r="AG228" s="203"/>
    </row>
    <row r="229" spans="31:33">
      <c r="AE229" s="203"/>
      <c r="AF229" s="204"/>
      <c r="AG229" s="203"/>
    </row>
    <row r="230" spans="31:33">
      <c r="AE230" s="203"/>
      <c r="AF230" s="204"/>
      <c r="AG230" s="203"/>
    </row>
    <row r="231" spans="31:33">
      <c r="AE231" s="203"/>
      <c r="AF231" s="204"/>
      <c r="AG231" s="203"/>
    </row>
    <row r="232" spans="31:33">
      <c r="AE232" s="203"/>
      <c r="AF232" s="204"/>
      <c r="AG232" s="203"/>
    </row>
    <row r="233" spans="31:33">
      <c r="AE233" s="203"/>
      <c r="AF233" s="204"/>
      <c r="AG233" s="203"/>
    </row>
    <row r="234" spans="31:33">
      <c r="AE234" s="203"/>
      <c r="AF234" s="204"/>
      <c r="AG234" s="203"/>
    </row>
    <row r="235" spans="31:33">
      <c r="AE235" s="203"/>
      <c r="AF235" s="204"/>
      <c r="AG235" s="203"/>
    </row>
    <row r="236" spans="31:33">
      <c r="AE236" s="203"/>
      <c r="AF236" s="204"/>
      <c r="AG236" s="203"/>
    </row>
    <row r="237" spans="31:33">
      <c r="AE237" s="203"/>
      <c r="AF237" s="204"/>
      <c r="AG237" s="203"/>
    </row>
    <row r="238" spans="31:33">
      <c r="AE238" s="203"/>
      <c r="AF238" s="204"/>
      <c r="AG238" s="203"/>
    </row>
    <row r="239" spans="31:33">
      <c r="AE239" s="203"/>
      <c r="AF239" s="204"/>
      <c r="AG239" s="203"/>
    </row>
    <row r="240" spans="31:33">
      <c r="AE240" s="203"/>
      <c r="AF240" s="204"/>
      <c r="AG240" s="203"/>
    </row>
    <row r="241" spans="31:33">
      <c r="AE241" s="203"/>
      <c r="AF241" s="204"/>
      <c r="AG241" s="203"/>
    </row>
    <row r="242" spans="31:33">
      <c r="AE242" s="203"/>
      <c r="AF242" s="204"/>
      <c r="AG242" s="203"/>
    </row>
    <row r="243" spans="31:33">
      <c r="AE243" s="203"/>
      <c r="AF243" s="204"/>
      <c r="AG243" s="203"/>
    </row>
    <row r="244" spans="31:33">
      <c r="AE244" s="203"/>
      <c r="AF244" s="204"/>
      <c r="AG244" s="203"/>
    </row>
    <row r="245" spans="31:33">
      <c r="AE245" s="203"/>
      <c r="AF245" s="204"/>
      <c r="AG245" s="203"/>
    </row>
    <row r="246" spans="31:33">
      <c r="AE246" s="203"/>
      <c r="AF246" s="204"/>
      <c r="AG246" s="203"/>
    </row>
    <row r="247" spans="31:33">
      <c r="AE247" s="203"/>
      <c r="AF247" s="204"/>
      <c r="AG247" s="203"/>
    </row>
    <row r="248" spans="31:33">
      <c r="AE248" s="203"/>
      <c r="AF248" s="204"/>
      <c r="AG248" s="203"/>
    </row>
    <row r="249" spans="31:33">
      <c r="AE249" s="203"/>
      <c r="AF249" s="204"/>
      <c r="AG249" s="203"/>
    </row>
    <row r="250" spans="31:33">
      <c r="AE250" s="203"/>
      <c r="AF250" s="204"/>
      <c r="AG250" s="203"/>
    </row>
    <row r="251" spans="31:33">
      <c r="AE251" s="203"/>
      <c r="AF251" s="204"/>
      <c r="AG251" s="203"/>
    </row>
    <row r="252" spans="31:33">
      <c r="AE252" s="203"/>
      <c r="AF252" s="204"/>
      <c r="AG252" s="203"/>
    </row>
    <row r="253" spans="31:33">
      <c r="AE253" s="203"/>
      <c r="AF253" s="204"/>
      <c r="AG253" s="203"/>
    </row>
    <row r="254" spans="31:33">
      <c r="AE254" s="203"/>
      <c r="AF254" s="204"/>
      <c r="AG254" s="203"/>
    </row>
    <row r="255" spans="31:33">
      <c r="AE255" s="203"/>
      <c r="AF255" s="204"/>
      <c r="AG255" s="203"/>
    </row>
    <row r="256" spans="31:33">
      <c r="AE256" s="203"/>
      <c r="AF256" s="204"/>
      <c r="AG256" s="203"/>
    </row>
    <row r="257" spans="31:33">
      <c r="AE257" s="203"/>
      <c r="AF257" s="204"/>
      <c r="AG257" s="203"/>
    </row>
    <row r="258" spans="31:33">
      <c r="AE258" s="203"/>
      <c r="AF258" s="204"/>
      <c r="AG258" s="203"/>
    </row>
    <row r="259" spans="31:33">
      <c r="AE259" s="203"/>
      <c r="AF259" s="204"/>
      <c r="AG259" s="203"/>
    </row>
    <row r="260" spans="31:33">
      <c r="AE260" s="203"/>
      <c r="AF260" s="204"/>
      <c r="AG260" s="203"/>
    </row>
    <row r="261" spans="31:33">
      <c r="AE261" s="203"/>
      <c r="AF261" s="204"/>
      <c r="AG261" s="203"/>
    </row>
    <row r="262" spans="31:33">
      <c r="AE262" s="203"/>
      <c r="AF262" s="204"/>
      <c r="AG262" s="203"/>
    </row>
    <row r="263" spans="31:33">
      <c r="AE263" s="203"/>
      <c r="AF263" s="204"/>
      <c r="AG263" s="203"/>
    </row>
    <row r="264" spans="31:33">
      <c r="AE264" s="203"/>
      <c r="AF264" s="204"/>
      <c r="AG264" s="203"/>
    </row>
    <row r="265" spans="31:33">
      <c r="AE265" s="203"/>
      <c r="AF265" s="204"/>
      <c r="AG265" s="203"/>
    </row>
    <row r="266" spans="31:33">
      <c r="AE266" s="203"/>
      <c r="AF266" s="204"/>
      <c r="AG266" s="203"/>
    </row>
    <row r="267" spans="31:33">
      <c r="AE267" s="203"/>
      <c r="AF267" s="204"/>
      <c r="AG267" s="203"/>
    </row>
    <row r="268" spans="31:33">
      <c r="AE268" s="203"/>
      <c r="AF268" s="204"/>
      <c r="AG268" s="203"/>
    </row>
    <row r="269" spans="31:33">
      <c r="AE269" s="203"/>
      <c r="AF269" s="204"/>
      <c r="AG269" s="203"/>
    </row>
    <row r="270" spans="31:33">
      <c r="AE270" s="203"/>
      <c r="AF270" s="204"/>
      <c r="AG270" s="203"/>
    </row>
    <row r="271" spans="31:33">
      <c r="AE271" s="203"/>
      <c r="AF271" s="204"/>
      <c r="AG271" s="203"/>
    </row>
    <row r="272" spans="31:33">
      <c r="AE272" s="203"/>
      <c r="AF272" s="204"/>
      <c r="AG272" s="203"/>
    </row>
    <row r="273" spans="31:33">
      <c r="AE273" s="203"/>
      <c r="AF273" s="204"/>
      <c r="AG273" s="203"/>
    </row>
    <row r="274" spans="31:33">
      <c r="AE274" s="203"/>
      <c r="AF274" s="204"/>
      <c r="AG274" s="203"/>
    </row>
    <row r="275" spans="31:33">
      <c r="AE275" s="203"/>
      <c r="AF275" s="204"/>
      <c r="AG275" s="203"/>
    </row>
    <row r="276" spans="31:33">
      <c r="AE276" s="203"/>
      <c r="AF276" s="204"/>
      <c r="AG276" s="203"/>
    </row>
    <row r="277" spans="31:33">
      <c r="AE277" s="203"/>
      <c r="AF277" s="204"/>
      <c r="AG277" s="203"/>
    </row>
    <row r="278" spans="31:33">
      <c r="AE278" s="203"/>
      <c r="AF278" s="204"/>
      <c r="AG278" s="203"/>
    </row>
    <row r="279" spans="31:33">
      <c r="AE279" s="203"/>
      <c r="AF279" s="204"/>
      <c r="AG279" s="203"/>
    </row>
    <row r="280" spans="31:33">
      <c r="AE280" s="203"/>
      <c r="AF280" s="204"/>
      <c r="AG280" s="203"/>
    </row>
    <row r="281" spans="31:33">
      <c r="AE281" s="203"/>
      <c r="AF281" s="204"/>
      <c r="AG281" s="203"/>
    </row>
    <row r="282" spans="31:33">
      <c r="AE282" s="203"/>
      <c r="AF282" s="204"/>
      <c r="AG282" s="203"/>
    </row>
    <row r="283" spans="31:33">
      <c r="AE283" s="203"/>
      <c r="AF283" s="204"/>
      <c r="AG283" s="203"/>
    </row>
    <row r="284" spans="31:33">
      <c r="AE284" s="203"/>
      <c r="AF284" s="204"/>
      <c r="AG284" s="203"/>
    </row>
    <row r="285" spans="31:33">
      <c r="AE285" s="203"/>
      <c r="AF285" s="204"/>
      <c r="AG285" s="203"/>
    </row>
    <row r="286" spans="31:33">
      <c r="AE286" s="203"/>
      <c r="AF286" s="204"/>
      <c r="AG286" s="203"/>
    </row>
    <row r="287" spans="31:33">
      <c r="AE287" s="203"/>
      <c r="AF287" s="204"/>
      <c r="AG287" s="203"/>
    </row>
    <row r="288" spans="31:33">
      <c r="AE288" s="203"/>
      <c r="AF288" s="204"/>
      <c r="AG288" s="203"/>
    </row>
    <row r="289" spans="31:33">
      <c r="AE289" s="203"/>
      <c r="AF289" s="204"/>
      <c r="AG289" s="203"/>
    </row>
    <row r="290" spans="31:33">
      <c r="AE290" s="203"/>
      <c r="AF290" s="204"/>
      <c r="AG290" s="203"/>
    </row>
    <row r="291" spans="31:33">
      <c r="AE291" s="203"/>
      <c r="AF291" s="204"/>
      <c r="AG291" s="203"/>
    </row>
    <row r="292" spans="31:33">
      <c r="AE292" s="203"/>
      <c r="AF292" s="204"/>
      <c r="AG292" s="203"/>
    </row>
    <row r="293" spans="31:33">
      <c r="AE293" s="203"/>
      <c r="AF293" s="204"/>
      <c r="AG293" s="203"/>
    </row>
    <row r="294" spans="31:33">
      <c r="AE294" s="203"/>
      <c r="AF294" s="204"/>
      <c r="AG294" s="203"/>
    </row>
    <row r="295" spans="31:33">
      <c r="AE295" s="203"/>
      <c r="AF295" s="204"/>
      <c r="AG295" s="203"/>
    </row>
    <row r="296" spans="31:33">
      <c r="AE296" s="203"/>
      <c r="AF296" s="204"/>
      <c r="AG296" s="203"/>
    </row>
    <row r="297" spans="31:33">
      <c r="AE297" s="203"/>
      <c r="AF297" s="204"/>
      <c r="AG297" s="203"/>
    </row>
    <row r="298" spans="31:33">
      <c r="AE298" s="203"/>
      <c r="AF298" s="204"/>
      <c r="AG298" s="203"/>
    </row>
    <row r="299" spans="31:33">
      <c r="AE299" s="203"/>
      <c r="AF299" s="204"/>
      <c r="AG299" s="203"/>
    </row>
    <row r="300" spans="31:33">
      <c r="AE300" s="203"/>
      <c r="AF300" s="204"/>
      <c r="AG300" s="203"/>
    </row>
    <row r="301" spans="31:33">
      <c r="AE301" s="203"/>
      <c r="AF301" s="204"/>
      <c r="AG301" s="203"/>
    </row>
    <row r="302" spans="31:33">
      <c r="AE302" s="203"/>
      <c r="AF302" s="204"/>
      <c r="AG302" s="203"/>
    </row>
    <row r="303" spans="31:33">
      <c r="AE303" s="203"/>
      <c r="AF303" s="204"/>
      <c r="AG303" s="203"/>
    </row>
    <row r="304" spans="31:33">
      <c r="AE304" s="203"/>
      <c r="AF304" s="204"/>
      <c r="AG304" s="203"/>
    </row>
    <row r="305" spans="31:33">
      <c r="AE305" s="203"/>
      <c r="AF305" s="204"/>
      <c r="AG305" s="203"/>
    </row>
  </sheetData>
  <sheetProtection formatCells="0" formatColumns="0" formatRows="0"/>
  <mergeCells count="17">
    <mergeCell ref="N5:N6"/>
    <mergeCell ref="J5:J6"/>
    <mergeCell ref="V5:V6"/>
    <mergeCell ref="F5:F6"/>
    <mergeCell ref="A1:AT1"/>
    <mergeCell ref="A2:AT2"/>
    <mergeCell ref="A3:AT3"/>
    <mergeCell ref="A4:AT4"/>
    <mergeCell ref="AV5:AV6"/>
    <mergeCell ref="AW5:AW6"/>
    <mergeCell ref="AT5:AT6"/>
    <mergeCell ref="R5:R6"/>
    <mergeCell ref="AD5:AD6"/>
    <mergeCell ref="AH5:AH6"/>
    <mergeCell ref="AL5:AL6"/>
    <mergeCell ref="AP5:AP6"/>
    <mergeCell ref="Z5:Z6"/>
  </mergeCells>
  <phoneticPr fontId="30" type="noConversion"/>
  <printOptions horizontalCentered="1"/>
  <pageMargins left="0.21" right="0" top="0.48" bottom="0.25" header="0.49" footer="0.32"/>
  <pageSetup paperSize="9" scale="110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G75"/>
  <sheetViews>
    <sheetView zoomScaleNormal="100" zoomScaleSheetLayoutView="55" workbookViewId="0">
      <selection activeCell="E44" sqref="E44"/>
    </sheetView>
  </sheetViews>
  <sheetFormatPr defaultColWidth="0" defaultRowHeight="12" zeroHeight="1"/>
  <cols>
    <col min="1" max="1" width="7.42578125" style="124" customWidth="1"/>
    <col min="2" max="2" width="2.5703125" style="124" customWidth="1"/>
    <col min="3" max="3" width="13.28515625" style="124" customWidth="1"/>
    <col min="4" max="4" width="1.85546875" style="125" customWidth="1"/>
    <col min="5" max="5" width="10" style="148" customWidth="1"/>
    <col min="6" max="6" width="1.85546875" style="125" customWidth="1"/>
    <col min="7" max="7" width="11.42578125" style="124" hidden="1" customWidth="1"/>
    <col min="8" max="8" width="1.85546875" style="125" hidden="1" customWidth="1"/>
    <col min="9" max="9" width="10.85546875" style="124" hidden="1" customWidth="1"/>
    <col min="10" max="10" width="1.85546875" style="125" hidden="1" customWidth="1"/>
    <col min="11" max="11" width="10" style="124" hidden="1" customWidth="1"/>
    <col min="12" max="12" width="1.85546875" style="125" hidden="1" customWidth="1"/>
    <col min="13" max="13" width="10" style="148" hidden="1" customWidth="1"/>
    <col min="14" max="14" width="1.85546875" style="125" hidden="1" customWidth="1"/>
    <col min="15" max="15" width="10" style="125" hidden="1" customWidth="1"/>
    <col min="16" max="16" width="1.85546875" style="126" hidden="1" customWidth="1"/>
    <col min="17" max="17" width="10" style="124" hidden="1" customWidth="1"/>
    <col min="18" max="18" width="1.85546875" style="126" hidden="1" customWidth="1"/>
    <col min="19" max="19" width="10" style="124" hidden="1" customWidth="1"/>
    <col min="20" max="20" width="1.85546875" style="127" hidden="1" customWidth="1"/>
    <col min="21" max="21" width="11.7109375" style="124" hidden="1" customWidth="1"/>
    <col min="22" max="22" width="1.85546875" style="127" hidden="1" customWidth="1"/>
    <col min="23" max="23" width="12" style="124" hidden="1" customWidth="1"/>
    <col min="24" max="24" width="1.85546875" style="127" hidden="1" customWidth="1"/>
    <col min="25" max="25" width="10" style="124" hidden="1" customWidth="1"/>
    <col min="26" max="26" width="1.85546875" style="127" hidden="1" customWidth="1"/>
    <col min="27" max="27" width="10" style="124" hidden="1" customWidth="1"/>
    <col min="28" max="28" width="1.7109375" style="126" hidden="1" customWidth="1"/>
    <col min="29" max="29" width="13.140625" style="128" customWidth="1"/>
    <col min="30" max="30" width="4.42578125" style="124" hidden="1" customWidth="1"/>
    <col min="31" max="31" width="11.7109375" style="124" hidden="1" customWidth="1"/>
    <col min="32" max="32" width="4.28515625" style="124" hidden="1" customWidth="1"/>
    <col min="33" max="33" width="4.7109375" style="124" hidden="1" customWidth="1"/>
    <col min="34" max="34" width="11.140625" style="124" hidden="1" customWidth="1"/>
    <col min="35" max="35" width="4.28515625" style="124" hidden="1" customWidth="1"/>
    <col min="36" max="36" width="4.42578125" style="124" hidden="1" customWidth="1"/>
    <col min="37" max="37" width="11.140625" style="124" hidden="1" customWidth="1"/>
    <col min="38" max="38" width="4.7109375" style="124" hidden="1" customWidth="1"/>
    <col min="39" max="39" width="4.5703125" style="124" hidden="1" customWidth="1"/>
    <col min="40" max="40" width="13.5703125" style="124" hidden="1" customWidth="1"/>
    <col min="41" max="41" width="4.7109375" style="124" hidden="1" customWidth="1"/>
    <col min="42" max="42" width="4.28515625" style="124" hidden="1" customWidth="1"/>
    <col min="43" max="43" width="13.5703125" style="124" hidden="1" customWidth="1"/>
    <col min="44" max="44" width="20" style="124" hidden="1" customWidth="1"/>
    <col min="45" max="45" width="13.7109375" style="124" hidden="1" customWidth="1"/>
    <col min="46" max="46" width="12.85546875" style="124" hidden="1" customWidth="1"/>
    <col min="47" max="47" width="0" style="124" hidden="1" customWidth="1"/>
    <col min="48" max="48" width="13.140625" style="124" hidden="1" customWidth="1"/>
    <col min="49" max="49" width="0" style="124" hidden="1" customWidth="1"/>
    <col min="50" max="51" width="12.85546875" style="124" hidden="1" customWidth="1"/>
    <col min="52" max="57" width="0" style="124" hidden="1"/>
    <col min="58" max="59" width="12.85546875" style="124" hidden="1"/>
    <col min="60" max="16384" width="0" style="124" hidden="1"/>
  </cols>
  <sheetData>
    <row r="1" spans="1:56">
      <c r="A1" s="129" t="s">
        <v>85</v>
      </c>
      <c r="T1" s="126"/>
      <c r="V1" s="126"/>
      <c r="X1" s="126"/>
      <c r="Z1" s="126"/>
    </row>
    <row r="2" spans="1:56">
      <c r="A2" s="129" t="s">
        <v>27</v>
      </c>
      <c r="T2" s="126"/>
      <c r="V2" s="126"/>
      <c r="X2" s="126"/>
      <c r="Z2" s="126"/>
    </row>
    <row r="3" spans="1:56">
      <c r="A3" s="15" t="s">
        <v>514</v>
      </c>
      <c r="T3" s="126"/>
      <c r="V3" s="126"/>
      <c r="X3" s="126"/>
      <c r="Z3" s="126"/>
    </row>
    <row r="4" spans="1:56"/>
    <row r="5" spans="1:56">
      <c r="A5" s="149"/>
      <c r="B5" s="149"/>
      <c r="C5" s="149"/>
      <c r="D5" s="252"/>
      <c r="E5" s="253"/>
      <c r="F5" s="252"/>
      <c r="G5" s="149"/>
      <c r="H5" s="252"/>
      <c r="I5" s="149"/>
      <c r="J5" s="252"/>
      <c r="K5" s="149"/>
      <c r="L5" s="252"/>
      <c r="M5" s="253"/>
      <c r="N5" s="252"/>
      <c r="O5" s="252"/>
      <c r="P5" s="254"/>
      <c r="Q5" s="149"/>
      <c r="R5" s="254"/>
      <c r="S5" s="149"/>
      <c r="T5" s="255"/>
      <c r="U5" s="149"/>
      <c r="V5" s="255"/>
      <c r="W5" s="149"/>
      <c r="X5" s="255"/>
      <c r="Y5" s="149"/>
      <c r="Z5" s="255"/>
      <c r="AA5" s="149"/>
      <c r="AB5" s="254"/>
    </row>
    <row r="6" spans="1:56">
      <c r="A6" s="129" t="s">
        <v>28</v>
      </c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</row>
    <row r="7" spans="1:56">
      <c r="A7" s="129" t="s">
        <v>51</v>
      </c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</row>
    <row r="8" spans="1:56">
      <c r="A8" s="150"/>
      <c r="B8" s="150"/>
      <c r="C8" s="150"/>
      <c r="D8" s="256"/>
      <c r="E8" s="257"/>
      <c r="F8" s="256"/>
      <c r="G8" s="150"/>
      <c r="H8" s="256"/>
      <c r="I8" s="150"/>
      <c r="J8" s="256"/>
      <c r="K8" s="150"/>
      <c r="L8" s="256"/>
      <c r="M8" s="257"/>
      <c r="N8" s="256"/>
      <c r="O8" s="256"/>
      <c r="P8" s="258"/>
      <c r="Q8" s="150"/>
      <c r="R8" s="258"/>
      <c r="S8" s="150"/>
      <c r="T8" s="259"/>
      <c r="U8" s="150"/>
      <c r="V8" s="259"/>
      <c r="W8" s="150"/>
      <c r="X8" s="259"/>
      <c r="Y8" s="150"/>
      <c r="Z8" s="259"/>
      <c r="AA8" s="150"/>
      <c r="AB8" s="258"/>
      <c r="AC8" s="151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</row>
    <row r="9" spans="1:56">
      <c r="A9" s="149"/>
      <c r="B9" s="149"/>
      <c r="C9" s="149"/>
      <c r="D9" s="252"/>
      <c r="E9" s="253" t="s">
        <v>333</v>
      </c>
      <c r="F9" s="252"/>
      <c r="G9" s="260" t="s">
        <v>334</v>
      </c>
      <c r="H9" s="252"/>
      <c r="I9" s="260" t="s">
        <v>335</v>
      </c>
      <c r="J9" s="252"/>
      <c r="K9" s="260" t="s">
        <v>336</v>
      </c>
      <c r="L9" s="252"/>
      <c r="M9" s="253" t="s">
        <v>44</v>
      </c>
      <c r="N9" s="252"/>
      <c r="O9" s="252" t="s">
        <v>337</v>
      </c>
      <c r="P9" s="254"/>
      <c r="Q9" s="260" t="s">
        <v>338</v>
      </c>
      <c r="R9" s="255"/>
      <c r="S9" s="260" t="s">
        <v>339</v>
      </c>
      <c r="T9" s="255"/>
      <c r="U9" s="260" t="s">
        <v>340</v>
      </c>
      <c r="V9" s="255"/>
      <c r="W9" s="260" t="s">
        <v>341</v>
      </c>
      <c r="X9" s="255"/>
      <c r="Y9" s="260" t="s">
        <v>342</v>
      </c>
      <c r="Z9" s="255"/>
      <c r="AA9" s="260" t="s">
        <v>343</v>
      </c>
      <c r="AB9" s="255"/>
      <c r="AC9" s="148" t="s">
        <v>41</v>
      </c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</row>
    <row r="10" spans="1:56">
      <c r="A10" s="149"/>
      <c r="B10" s="149"/>
      <c r="C10" s="149"/>
      <c r="D10" s="252"/>
      <c r="E10" s="253"/>
      <c r="F10" s="252"/>
      <c r="G10" s="149"/>
      <c r="H10" s="252"/>
      <c r="I10" s="149"/>
      <c r="J10" s="252"/>
      <c r="K10" s="149"/>
      <c r="L10" s="252"/>
      <c r="M10" s="253"/>
      <c r="N10" s="252"/>
      <c r="O10" s="252"/>
      <c r="P10" s="254"/>
      <c r="Q10" s="260"/>
      <c r="R10" s="255"/>
      <c r="S10" s="260"/>
      <c r="T10" s="255"/>
      <c r="U10" s="260"/>
      <c r="V10" s="255"/>
      <c r="W10" s="260"/>
      <c r="X10" s="255"/>
      <c r="Y10" s="260"/>
      <c r="Z10" s="255"/>
      <c r="AA10" s="260"/>
      <c r="AB10" s="255"/>
      <c r="AC10" s="148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</row>
    <row r="11" spans="1:56">
      <c r="A11" s="149"/>
      <c r="B11" s="149" t="s">
        <v>80</v>
      </c>
      <c r="C11" s="149"/>
      <c r="D11" s="125" t="s">
        <v>7</v>
      </c>
      <c r="E11" s="128">
        <f>-TB!G47</f>
        <v>585396.02</v>
      </c>
      <c r="F11" s="125" t="s">
        <v>7</v>
      </c>
      <c r="G11" s="128"/>
      <c r="H11" s="125" t="s">
        <v>7</v>
      </c>
      <c r="I11" s="128"/>
      <c r="J11" s="125" t="s">
        <v>7</v>
      </c>
      <c r="K11" s="128"/>
      <c r="L11" s="125" t="s">
        <v>7</v>
      </c>
      <c r="M11" s="128"/>
      <c r="N11" s="125" t="s">
        <v>7</v>
      </c>
      <c r="O11" s="128">
        <f>-TB!AK47</f>
        <v>0</v>
      </c>
      <c r="P11" s="126" t="s">
        <v>7</v>
      </c>
      <c r="Q11" s="128">
        <f>-TB!AQ47</f>
        <v>0</v>
      </c>
      <c r="R11" s="126" t="s">
        <v>7</v>
      </c>
      <c r="S11" s="128">
        <f>-TB!AW47</f>
        <v>0</v>
      </c>
      <c r="T11" s="126" t="s">
        <v>7</v>
      </c>
      <c r="U11" s="128">
        <f>-TB!BC47</f>
        <v>0</v>
      </c>
      <c r="V11" s="126" t="s">
        <v>7</v>
      </c>
      <c r="W11" s="128">
        <f>-TB!BI47</f>
        <v>0</v>
      </c>
      <c r="X11" s="126" t="s">
        <v>7</v>
      </c>
      <c r="Y11" s="128">
        <f>-TB!BO47</f>
        <v>0</v>
      </c>
      <c r="Z11" s="126" t="s">
        <v>7</v>
      </c>
      <c r="AA11" s="128">
        <f>-TB!BU47</f>
        <v>0</v>
      </c>
      <c r="AB11" s="126" t="s">
        <v>7</v>
      </c>
      <c r="AC11" s="128">
        <f>SUM(E11:AA11)</f>
        <v>585396.02</v>
      </c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</row>
    <row r="12" spans="1:56">
      <c r="A12" s="149"/>
      <c r="B12" s="149"/>
      <c r="C12" s="149" t="s">
        <v>370</v>
      </c>
      <c r="E12" s="128">
        <f>-TB!G48</f>
        <v>-20245.54</v>
      </c>
      <c r="G12" s="128"/>
      <c r="I12" s="128"/>
      <c r="K12" s="128"/>
      <c r="M12" s="128"/>
      <c r="O12" s="128">
        <f>-TB!AG48</f>
        <v>0</v>
      </c>
      <c r="Q12" s="128">
        <f>-TB!AI48</f>
        <v>0</v>
      </c>
      <c r="S12" s="128">
        <f>-TB!AK48</f>
        <v>0</v>
      </c>
      <c r="T12" s="126"/>
      <c r="U12" s="128"/>
      <c r="V12" s="126"/>
      <c r="W12" s="128">
        <f>-TB!BI48</f>
        <v>0</v>
      </c>
      <c r="X12" s="126"/>
      <c r="Y12" s="128">
        <f>-TB!BO48</f>
        <v>0</v>
      </c>
      <c r="Z12" s="126"/>
      <c r="AA12" s="128">
        <f>-TB!BU48</f>
        <v>0</v>
      </c>
      <c r="AC12" s="128">
        <f>SUM(E12:AA12)</f>
        <v>-20245.54</v>
      </c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</row>
    <row r="13" spans="1:56">
      <c r="A13" s="149"/>
      <c r="B13" s="149"/>
      <c r="C13" s="149" t="s">
        <v>254</v>
      </c>
      <c r="E13" s="128">
        <f>-TB!G49</f>
        <v>0</v>
      </c>
      <c r="G13" s="128"/>
      <c r="I13" s="128"/>
      <c r="K13" s="128"/>
      <c r="M13" s="128">
        <f>-TB!AE49</f>
        <v>0</v>
      </c>
      <c r="O13" s="128">
        <f>-TB!AK49</f>
        <v>0</v>
      </c>
      <c r="Q13" s="128">
        <f>-TB!AQ49</f>
        <v>0</v>
      </c>
      <c r="S13" s="128">
        <f>-TB!AW49</f>
        <v>0</v>
      </c>
      <c r="T13" s="126"/>
      <c r="U13" s="128">
        <f>-TB!BC49</f>
        <v>0</v>
      </c>
      <c r="V13" s="126"/>
      <c r="W13" s="128">
        <f>-TB!BI49</f>
        <v>0</v>
      </c>
      <c r="X13" s="126"/>
      <c r="Y13" s="128">
        <f>-TB!BO49</f>
        <v>0</v>
      </c>
      <c r="Z13" s="126"/>
      <c r="AA13" s="128">
        <f>-TB!BU49</f>
        <v>0</v>
      </c>
      <c r="AC13" s="128">
        <f>SUM(E13:AA13)</f>
        <v>0</v>
      </c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</row>
    <row r="14" spans="1:56" s="149" customFormat="1" hidden="1">
      <c r="B14" s="149" t="s">
        <v>81</v>
      </c>
      <c r="D14" s="252"/>
      <c r="E14" s="128">
        <f>-TB!G50</f>
        <v>0</v>
      </c>
      <c r="F14" s="252"/>
      <c r="G14" s="128"/>
      <c r="H14" s="252"/>
      <c r="I14" s="128"/>
      <c r="J14" s="252"/>
      <c r="K14" s="128">
        <f>-TB!Y50</f>
        <v>0</v>
      </c>
      <c r="L14" s="252"/>
      <c r="M14" s="128">
        <f>-TB!AE50</f>
        <v>0</v>
      </c>
      <c r="N14" s="252"/>
      <c r="O14" s="128">
        <f>-TB!AK50</f>
        <v>0</v>
      </c>
      <c r="P14" s="254"/>
      <c r="Q14" s="128">
        <f>-TB!AQ50</f>
        <v>0</v>
      </c>
      <c r="R14" s="254"/>
      <c r="S14" s="128">
        <f>-TB!M50</f>
        <v>0</v>
      </c>
      <c r="T14" s="255"/>
      <c r="U14" s="128">
        <f>-TB!S50</f>
        <v>0</v>
      </c>
      <c r="V14" s="255"/>
      <c r="W14" s="128">
        <f>-TB!BE50</f>
        <v>0</v>
      </c>
      <c r="X14" s="255"/>
      <c r="Y14" s="128">
        <f>-TB!AE50</f>
        <v>0</v>
      </c>
      <c r="Z14" s="255"/>
      <c r="AA14" s="128">
        <f>-TB!AK50</f>
        <v>0</v>
      </c>
      <c r="AB14" s="254"/>
      <c r="AC14" s="128">
        <f>SUM(E14:AA14)</f>
        <v>0</v>
      </c>
    </row>
    <row r="15" spans="1:56" s="149" customFormat="1">
      <c r="B15" s="149" t="s">
        <v>251</v>
      </c>
      <c r="D15" s="252"/>
      <c r="E15" s="152">
        <f>-TB!G51</f>
        <v>0</v>
      </c>
      <c r="F15" s="252"/>
      <c r="G15" s="152"/>
      <c r="H15" s="252"/>
      <c r="I15" s="152"/>
      <c r="J15" s="252"/>
      <c r="K15" s="152">
        <f>-TB!Y51</f>
        <v>0</v>
      </c>
      <c r="L15" s="252"/>
      <c r="M15" s="152">
        <f>-TB!AE51</f>
        <v>0</v>
      </c>
      <c r="N15" s="252"/>
      <c r="O15" s="152">
        <f>-TB!AK51</f>
        <v>0</v>
      </c>
      <c r="P15" s="254"/>
      <c r="Q15" s="152">
        <f>-TB!AQ51</f>
        <v>0</v>
      </c>
      <c r="R15" s="254"/>
      <c r="S15" s="152">
        <f>-TB!M51</f>
        <v>0</v>
      </c>
      <c r="T15" s="255"/>
      <c r="U15" s="152">
        <f>-TB!BC51</f>
        <v>0</v>
      </c>
      <c r="V15" s="255"/>
      <c r="W15" s="152">
        <f>-TB!BI51</f>
        <v>0</v>
      </c>
      <c r="X15" s="255"/>
      <c r="Y15" s="152">
        <f>-TB!BO51</f>
        <v>0</v>
      </c>
      <c r="Z15" s="255"/>
      <c r="AA15" s="152">
        <f>-TB!BU51</f>
        <v>0</v>
      </c>
      <c r="AB15" s="254"/>
      <c r="AC15" s="128">
        <f>SUM(E15:AA15)</f>
        <v>0</v>
      </c>
    </row>
    <row r="16" spans="1:56" s="153" customFormat="1">
      <c r="D16" s="261"/>
      <c r="E16" s="262"/>
      <c r="F16" s="261"/>
      <c r="G16" s="262"/>
      <c r="H16" s="261"/>
      <c r="I16" s="262"/>
      <c r="J16" s="261"/>
      <c r="K16" s="262"/>
      <c r="L16" s="261"/>
      <c r="M16" s="262"/>
      <c r="N16" s="261"/>
      <c r="O16" s="262"/>
      <c r="P16" s="263"/>
      <c r="Q16" s="262"/>
      <c r="R16" s="263"/>
      <c r="T16" s="264"/>
      <c r="V16" s="264"/>
      <c r="X16" s="264"/>
      <c r="Z16" s="264"/>
      <c r="AB16" s="263"/>
      <c r="AC16" s="265"/>
    </row>
    <row r="17" spans="1:56" s="129" customFormat="1" ht="12.75" thickBot="1">
      <c r="A17" s="266"/>
      <c r="B17" s="266"/>
      <c r="C17" s="266" t="s">
        <v>29</v>
      </c>
      <c r="D17" s="267" t="s">
        <v>7</v>
      </c>
      <c r="E17" s="154">
        <f>SUM(E11:E15)</f>
        <v>565150.48</v>
      </c>
      <c r="F17" s="267" t="s">
        <v>7</v>
      </c>
      <c r="G17" s="154">
        <f>SUM(G11:G15)</f>
        <v>0</v>
      </c>
      <c r="H17" s="267" t="s">
        <v>7</v>
      </c>
      <c r="I17" s="154">
        <f>SUM(I11:I15)</f>
        <v>0</v>
      </c>
      <c r="J17" s="267" t="s">
        <v>7</v>
      </c>
      <c r="K17" s="154">
        <f>SUM(K11:K15)</f>
        <v>0</v>
      </c>
      <c r="L17" s="267" t="s">
        <v>7</v>
      </c>
      <c r="M17" s="154">
        <f>SUM(M11:M15)</f>
        <v>0</v>
      </c>
      <c r="N17" s="267" t="s">
        <v>7</v>
      </c>
      <c r="O17" s="154">
        <f>SUM(O11:O15)</f>
        <v>0</v>
      </c>
      <c r="P17" s="268" t="s">
        <v>7</v>
      </c>
      <c r="Q17" s="154">
        <f>SUM(Q11:Q15)</f>
        <v>0</v>
      </c>
      <c r="R17" s="268" t="s">
        <v>7</v>
      </c>
      <c r="S17" s="154">
        <f>SUM(S11:S15)</f>
        <v>0</v>
      </c>
      <c r="T17" s="268" t="s">
        <v>7</v>
      </c>
      <c r="U17" s="154">
        <f>SUM(U11:U15)</f>
        <v>0</v>
      </c>
      <c r="V17" s="268" t="s">
        <v>7</v>
      </c>
      <c r="W17" s="266">
        <f>SUM(W11:W15)</f>
        <v>0</v>
      </c>
      <c r="X17" s="268" t="s">
        <v>7</v>
      </c>
      <c r="Y17" s="266">
        <f>SUM(Y11:Y15)</f>
        <v>0</v>
      </c>
      <c r="Z17" s="268" t="s">
        <v>7</v>
      </c>
      <c r="AA17" s="266">
        <f>SUM(AA11:AA15)</f>
        <v>0</v>
      </c>
      <c r="AB17" s="268" t="s">
        <v>7</v>
      </c>
      <c r="AC17" s="154">
        <f>SUM(AC11:AC16)</f>
        <v>565150.48</v>
      </c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</row>
    <row r="18" spans="1:56">
      <c r="D18" s="148"/>
      <c r="F18" s="148"/>
      <c r="H18" s="148"/>
      <c r="J18" s="148"/>
      <c r="L18" s="148"/>
      <c r="M18" s="124"/>
      <c r="N18" s="148"/>
      <c r="O18" s="124"/>
      <c r="P18" s="269"/>
      <c r="S18" s="148"/>
      <c r="AC18" s="148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</row>
    <row r="19" spans="1:56">
      <c r="M19" s="124"/>
      <c r="O19" s="124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</row>
    <row r="20" spans="1:56">
      <c r="A20" s="129" t="s">
        <v>30</v>
      </c>
      <c r="M20" s="124"/>
      <c r="O20" s="124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</row>
    <row r="21" spans="1:56">
      <c r="A21" s="129" t="s">
        <v>52</v>
      </c>
      <c r="M21" s="124"/>
      <c r="O21" s="124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</row>
    <row r="22" spans="1:56">
      <c r="A22" s="150"/>
      <c r="B22" s="150"/>
      <c r="C22" s="150"/>
      <c r="D22" s="256"/>
      <c r="E22" s="257"/>
      <c r="F22" s="256"/>
      <c r="G22" s="150"/>
      <c r="H22" s="256"/>
      <c r="I22" s="150"/>
      <c r="J22" s="256"/>
      <c r="K22" s="150"/>
      <c r="L22" s="256"/>
      <c r="M22" s="150"/>
      <c r="N22" s="256"/>
      <c r="O22" s="150"/>
      <c r="P22" s="258"/>
      <c r="Q22" s="150"/>
      <c r="R22" s="258"/>
      <c r="S22" s="150"/>
      <c r="T22" s="259"/>
      <c r="U22" s="150"/>
      <c r="V22" s="259"/>
      <c r="W22" s="150"/>
      <c r="X22" s="259"/>
      <c r="Y22" s="150"/>
      <c r="Z22" s="259"/>
      <c r="AA22" s="150"/>
      <c r="AB22" s="258"/>
      <c r="AC22" s="151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</row>
    <row r="23" spans="1:56">
      <c r="A23" s="149"/>
      <c r="B23" s="149"/>
      <c r="C23" s="149"/>
      <c r="D23" s="252"/>
      <c r="E23" s="253" t="s">
        <v>333</v>
      </c>
      <c r="F23" s="252"/>
      <c r="G23" s="260" t="s">
        <v>334</v>
      </c>
      <c r="H23" s="252"/>
      <c r="I23" s="260" t="s">
        <v>335</v>
      </c>
      <c r="J23" s="252"/>
      <c r="K23" s="260" t="s">
        <v>336</v>
      </c>
      <c r="L23" s="252"/>
      <c r="M23" s="253" t="s">
        <v>44</v>
      </c>
      <c r="N23" s="252"/>
      <c r="O23" s="252" t="s">
        <v>337</v>
      </c>
      <c r="P23" s="254"/>
      <c r="Q23" s="260" t="s">
        <v>338</v>
      </c>
      <c r="R23" s="255"/>
      <c r="S23" s="260" t="s">
        <v>339</v>
      </c>
      <c r="T23" s="255"/>
      <c r="U23" s="260" t="s">
        <v>340</v>
      </c>
      <c r="V23" s="255"/>
      <c r="W23" s="260" t="s">
        <v>341</v>
      </c>
      <c r="X23" s="255"/>
      <c r="Y23" s="260" t="s">
        <v>342</v>
      </c>
      <c r="Z23" s="255"/>
      <c r="AA23" s="260" t="s">
        <v>343</v>
      </c>
      <c r="AB23" s="255"/>
      <c r="AC23" s="148" t="s">
        <v>41</v>
      </c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</row>
    <row r="24" spans="1:56">
      <c r="A24" s="149"/>
      <c r="B24" s="149"/>
      <c r="C24" s="149"/>
      <c r="D24" s="252"/>
      <c r="E24" s="253"/>
      <c r="F24" s="252"/>
      <c r="G24" s="149"/>
      <c r="H24" s="252"/>
      <c r="I24" s="149"/>
      <c r="J24" s="252"/>
      <c r="K24" s="149"/>
      <c r="L24" s="252"/>
      <c r="M24" s="149"/>
      <c r="N24" s="252"/>
      <c r="O24" s="149"/>
      <c r="P24" s="254"/>
      <c r="Q24" s="149"/>
      <c r="R24" s="255"/>
      <c r="S24" s="260"/>
      <c r="T24" s="255"/>
      <c r="U24" s="260"/>
      <c r="V24" s="255"/>
      <c r="W24" s="260"/>
      <c r="X24" s="255"/>
      <c r="Y24" s="260"/>
      <c r="Z24" s="255"/>
      <c r="AA24" s="260"/>
      <c r="AB24" s="255"/>
      <c r="AC24" s="148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</row>
    <row r="25" spans="1:56">
      <c r="A25" s="149"/>
      <c r="B25" s="149" t="s">
        <v>52</v>
      </c>
      <c r="C25" s="149"/>
      <c r="D25" s="125" t="s">
        <v>7</v>
      </c>
      <c r="E25" s="128">
        <f>TB!G56</f>
        <v>385964.02747999999</v>
      </c>
      <c r="F25" s="125" t="s">
        <v>7</v>
      </c>
      <c r="G25" s="128"/>
      <c r="H25" s="125" t="s">
        <v>7</v>
      </c>
      <c r="I25" s="128"/>
      <c r="J25" s="125" t="s">
        <v>7</v>
      </c>
      <c r="K25" s="128"/>
      <c r="L25" s="125" t="s">
        <v>7</v>
      </c>
      <c r="M25" s="128"/>
      <c r="N25" s="125" t="s">
        <v>7</v>
      </c>
      <c r="O25" s="128">
        <f>TB!AK56</f>
        <v>0</v>
      </c>
      <c r="P25" s="126" t="s">
        <v>7</v>
      </c>
      <c r="Q25" s="128">
        <f>TB!AQ56</f>
        <v>0</v>
      </c>
      <c r="R25" s="126" t="s">
        <v>7</v>
      </c>
      <c r="S25" s="128">
        <f>TB!AW56</f>
        <v>0</v>
      </c>
      <c r="T25" s="126" t="s">
        <v>7</v>
      </c>
      <c r="U25" s="128">
        <f>TB!BC56</f>
        <v>0</v>
      </c>
      <c r="V25" s="126" t="s">
        <v>7</v>
      </c>
      <c r="W25" s="128">
        <f>TB!BI56</f>
        <v>0</v>
      </c>
      <c r="X25" s="126" t="s">
        <v>7</v>
      </c>
      <c r="Y25" s="128">
        <f>TB!BO56</f>
        <v>0</v>
      </c>
      <c r="Z25" s="126" t="s">
        <v>7</v>
      </c>
      <c r="AA25" s="128">
        <f>TB!BU56</f>
        <v>0</v>
      </c>
      <c r="AB25" s="126" t="s">
        <v>7</v>
      </c>
      <c r="AC25" s="148">
        <f>SUM(E25:AA25)</f>
        <v>385964.02747999999</v>
      </c>
      <c r="AR25" s="152"/>
      <c r="AS25" s="149"/>
      <c r="AT25" s="152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</row>
    <row r="26" spans="1:56" s="150" customFormat="1">
      <c r="B26" s="150" t="s">
        <v>169</v>
      </c>
      <c r="D26" s="256"/>
      <c r="E26" s="151">
        <f>TB!G57</f>
        <v>892.85714285714278</v>
      </c>
      <c r="F26" s="256"/>
      <c r="G26" s="151"/>
      <c r="H26" s="256"/>
      <c r="I26" s="151"/>
      <c r="J26" s="256"/>
      <c r="K26" s="151"/>
      <c r="L26" s="256"/>
      <c r="M26" s="151"/>
      <c r="N26" s="256"/>
      <c r="O26" s="151">
        <f>TB!AK57</f>
        <v>0</v>
      </c>
      <c r="P26" s="258"/>
      <c r="Q26" s="151">
        <f>TB!AQ57</f>
        <v>0</v>
      </c>
      <c r="R26" s="259"/>
      <c r="S26" s="151">
        <f>TB!AW57</f>
        <v>0</v>
      </c>
      <c r="T26" s="259"/>
      <c r="U26" s="151">
        <f>TB!BC57</f>
        <v>0</v>
      </c>
      <c r="V26" s="259"/>
      <c r="W26" s="151">
        <f>TB!BI57</f>
        <v>0</v>
      </c>
      <c r="X26" s="259"/>
      <c r="Y26" s="151">
        <f>TB!BO57</f>
        <v>0</v>
      </c>
      <c r="Z26" s="259"/>
      <c r="AA26" s="151">
        <f>TB!BU57</f>
        <v>0</v>
      </c>
      <c r="AB26" s="259"/>
      <c r="AC26" s="148">
        <f>SUM(E26:AA26)</f>
        <v>892.85714285714278</v>
      </c>
      <c r="AR26" s="151"/>
      <c r="AT26" s="151"/>
    </row>
    <row r="27" spans="1:56">
      <c r="M27" s="124"/>
      <c r="O27" s="124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</row>
    <row r="28" spans="1:56" s="129" customFormat="1" ht="12.75" thickBot="1">
      <c r="A28" s="266"/>
      <c r="B28" s="266"/>
      <c r="C28" s="266" t="s">
        <v>29</v>
      </c>
      <c r="D28" s="270" t="s">
        <v>7</v>
      </c>
      <c r="E28" s="271">
        <f>SUM(E25:E26)</f>
        <v>386856.88462285715</v>
      </c>
      <c r="F28" s="270" t="s">
        <v>7</v>
      </c>
      <c r="G28" s="271">
        <f>SUM(G25:G26)</f>
        <v>0</v>
      </c>
      <c r="H28" s="270" t="s">
        <v>7</v>
      </c>
      <c r="I28" s="271">
        <f>SUM(I25:I26)</f>
        <v>0</v>
      </c>
      <c r="J28" s="270" t="s">
        <v>7</v>
      </c>
      <c r="K28" s="271">
        <f>SUM(K25:K26)</f>
        <v>0</v>
      </c>
      <c r="L28" s="270" t="s">
        <v>7</v>
      </c>
      <c r="M28" s="271">
        <f>SUM(M25:M26)</f>
        <v>0</v>
      </c>
      <c r="N28" s="267" t="s">
        <v>7</v>
      </c>
      <c r="O28" s="271">
        <f>SUM(O25:O26)</f>
        <v>0</v>
      </c>
      <c r="P28" s="268" t="s">
        <v>7</v>
      </c>
      <c r="Q28" s="271">
        <f>SUM(Q25:Q26)</f>
        <v>0</v>
      </c>
      <c r="R28" s="268" t="s">
        <v>7</v>
      </c>
      <c r="S28" s="266">
        <f>SUM(S25:S26)</f>
        <v>0</v>
      </c>
      <c r="T28" s="268" t="s">
        <v>7</v>
      </c>
      <c r="U28" s="266">
        <f>SUM(U25:U26)</f>
        <v>0</v>
      </c>
      <c r="V28" s="268" t="s">
        <v>7</v>
      </c>
      <c r="W28" s="266">
        <f>SUM(W25:W26)</f>
        <v>0</v>
      </c>
      <c r="X28" s="268" t="s">
        <v>7</v>
      </c>
      <c r="Y28" s="266">
        <f>SUM(Y25:Y26)</f>
        <v>0</v>
      </c>
      <c r="Z28" s="268" t="s">
        <v>7</v>
      </c>
      <c r="AA28" s="266">
        <f>SUM(AA25:AA26)</f>
        <v>0</v>
      </c>
      <c r="AB28" s="268" t="s">
        <v>7</v>
      </c>
      <c r="AC28" s="124">
        <f>AC25+AC26</f>
        <v>386856.88462285715</v>
      </c>
      <c r="AR28" s="154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</row>
    <row r="29" spans="1:56">
      <c r="D29" s="148"/>
      <c r="F29" s="148"/>
      <c r="H29" s="148"/>
      <c r="J29" s="148"/>
      <c r="L29" s="148"/>
      <c r="N29" s="148"/>
      <c r="O29" s="148"/>
      <c r="P29" s="269"/>
      <c r="Q29" s="148"/>
      <c r="S29" s="148"/>
      <c r="U29" s="148"/>
      <c r="W29" s="148"/>
      <c r="X29" s="269"/>
      <c r="Y29" s="148"/>
      <c r="Z29" s="269"/>
      <c r="AA29" s="148"/>
      <c r="AB29" s="269"/>
      <c r="AC29" s="148"/>
      <c r="AR29" s="128"/>
    </row>
    <row r="30" spans="1:56">
      <c r="E30" s="272"/>
      <c r="M30" s="272"/>
      <c r="O30" s="272"/>
      <c r="Q30" s="272"/>
      <c r="S30" s="272"/>
      <c r="U30" s="272"/>
      <c r="W30" s="272"/>
      <c r="X30" s="273"/>
      <c r="Y30" s="272"/>
      <c r="Z30" s="273"/>
      <c r="AA30" s="272"/>
      <c r="AB30" s="273"/>
      <c r="AC30" s="272"/>
    </row>
    <row r="31" spans="1:56" hidden="1">
      <c r="A31" s="129" t="s">
        <v>32</v>
      </c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</row>
    <row r="32" spans="1:56" hidden="1">
      <c r="A32" s="129" t="s">
        <v>56</v>
      </c>
      <c r="B32" s="274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</row>
    <row r="33" spans="1:56" hidden="1">
      <c r="A33" s="150"/>
      <c r="B33" s="150"/>
      <c r="C33" s="150"/>
      <c r="D33" s="256"/>
      <c r="E33" s="257"/>
      <c r="F33" s="256"/>
      <c r="G33" s="150"/>
      <c r="H33" s="256"/>
      <c r="I33" s="150"/>
      <c r="J33" s="256"/>
      <c r="K33" s="150"/>
      <c r="L33" s="256"/>
      <c r="M33" s="257"/>
      <c r="N33" s="256"/>
      <c r="O33" s="256"/>
      <c r="P33" s="258"/>
      <c r="Q33" s="150"/>
      <c r="R33" s="258"/>
      <c r="S33" s="150"/>
      <c r="T33" s="259"/>
      <c r="U33" s="150"/>
      <c r="V33" s="259"/>
      <c r="W33" s="150"/>
      <c r="X33" s="259"/>
      <c r="Y33" s="150"/>
      <c r="Z33" s="259"/>
      <c r="AA33" s="150"/>
      <c r="AB33" s="258"/>
      <c r="AC33" s="151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</row>
    <row r="34" spans="1:56" hidden="1">
      <c r="A34" s="149"/>
      <c r="B34" s="149"/>
      <c r="C34" s="149"/>
      <c r="D34" s="252"/>
      <c r="E34" s="253" t="s">
        <v>44</v>
      </c>
      <c r="F34" s="252"/>
      <c r="G34" s="149"/>
      <c r="H34" s="252"/>
      <c r="I34" s="149"/>
      <c r="J34" s="252"/>
      <c r="K34" s="149"/>
      <c r="L34" s="252"/>
      <c r="M34" s="253" t="s">
        <v>44</v>
      </c>
      <c r="N34" s="252"/>
      <c r="O34" s="252" t="s">
        <v>45</v>
      </c>
      <c r="P34" s="254"/>
      <c r="Q34" s="260" t="s">
        <v>39</v>
      </c>
      <c r="R34" s="255"/>
      <c r="S34" s="260" t="s">
        <v>47</v>
      </c>
      <c r="T34" s="255"/>
      <c r="U34" s="260" t="s">
        <v>40</v>
      </c>
      <c r="V34" s="255"/>
      <c r="W34" s="260" t="s">
        <v>48</v>
      </c>
      <c r="X34" s="255"/>
      <c r="Y34" s="260" t="s">
        <v>49</v>
      </c>
      <c r="Z34" s="255"/>
      <c r="AA34" s="260" t="s">
        <v>50</v>
      </c>
      <c r="AB34" s="255"/>
      <c r="AC34" s="148" t="s">
        <v>41</v>
      </c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</row>
    <row r="35" spans="1:56" hidden="1">
      <c r="A35" s="149"/>
      <c r="B35" s="149"/>
      <c r="C35" s="149"/>
      <c r="D35" s="252"/>
      <c r="E35" s="253"/>
      <c r="F35" s="252"/>
      <c r="G35" s="149"/>
      <c r="H35" s="252"/>
      <c r="I35" s="149"/>
      <c r="J35" s="252"/>
      <c r="K35" s="149"/>
      <c r="L35" s="252"/>
      <c r="M35" s="253"/>
      <c r="N35" s="252"/>
      <c r="O35" s="252"/>
      <c r="P35" s="254"/>
      <c r="Q35" s="260"/>
      <c r="R35" s="255"/>
      <c r="S35" s="260"/>
      <c r="T35" s="255"/>
      <c r="U35" s="260"/>
      <c r="V35" s="255"/>
      <c r="W35" s="260"/>
      <c r="X35" s="255"/>
      <c r="Y35" s="260"/>
      <c r="Z35" s="255"/>
      <c r="AA35" s="260"/>
      <c r="AB35" s="255"/>
      <c r="AC35" s="148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</row>
    <row r="36" spans="1:56" s="149" customFormat="1" hidden="1">
      <c r="A36" s="149" t="s">
        <v>82</v>
      </c>
      <c r="B36" s="149" t="s">
        <v>170</v>
      </c>
      <c r="D36" s="252" t="s">
        <v>7</v>
      </c>
      <c r="E36" s="253" t="e">
        <f>TB!#REF!</f>
        <v>#REF!</v>
      </c>
      <c r="F36" s="252" t="s">
        <v>7</v>
      </c>
      <c r="H36" s="252" t="s">
        <v>7</v>
      </c>
      <c r="J36" s="252" t="s">
        <v>7</v>
      </c>
      <c r="L36" s="252" t="s">
        <v>7</v>
      </c>
      <c r="M36" s="253" t="e">
        <f>TB!#REF!</f>
        <v>#REF!</v>
      </c>
      <c r="N36" s="252" t="s">
        <v>7</v>
      </c>
      <c r="O36" s="253" t="e">
        <f>TB!#REF!</f>
        <v>#REF!</v>
      </c>
      <c r="P36" s="254" t="s">
        <v>7</v>
      </c>
      <c r="Q36" s="253" t="e">
        <f>TB!#REF!</f>
        <v>#REF!</v>
      </c>
      <c r="R36" s="254" t="s">
        <v>7</v>
      </c>
      <c r="S36" s="253">
        <f>TB!M86</f>
        <v>0</v>
      </c>
      <c r="T36" s="254" t="s">
        <v>7</v>
      </c>
      <c r="U36" s="253">
        <f>TB!S86</f>
        <v>0</v>
      </c>
      <c r="V36" s="254" t="s">
        <v>7</v>
      </c>
      <c r="W36" s="253">
        <f>TB!Y86</f>
        <v>7494.65</v>
      </c>
      <c r="X36" s="254" t="s">
        <v>7</v>
      </c>
      <c r="Y36" s="253">
        <f>TB!AE86</f>
        <v>1765.8</v>
      </c>
      <c r="Z36" s="254" t="s">
        <v>7</v>
      </c>
      <c r="AA36" s="253">
        <f>TB!AK86</f>
        <v>0</v>
      </c>
      <c r="AB36" s="254" t="s">
        <v>7</v>
      </c>
      <c r="AC36" s="152" t="e">
        <f>SUM(L36:AA36)</f>
        <v>#REF!</v>
      </c>
    </row>
    <row r="37" spans="1:56" s="150" customFormat="1" hidden="1">
      <c r="B37" s="150" t="s">
        <v>312</v>
      </c>
      <c r="D37" s="256"/>
      <c r="E37" s="257" t="e">
        <f>TB!#REF!</f>
        <v>#REF!</v>
      </c>
      <c r="F37" s="256"/>
      <c r="H37" s="256"/>
      <c r="J37" s="256"/>
      <c r="L37" s="256"/>
      <c r="M37" s="257" t="e">
        <f>TB!#REF!</f>
        <v>#REF!</v>
      </c>
      <c r="N37" s="256"/>
      <c r="O37" s="257" t="e">
        <f>TB!#REF!</f>
        <v>#REF!</v>
      </c>
      <c r="P37" s="258"/>
      <c r="Q37" s="257" t="e">
        <f>TB!#REF!</f>
        <v>#REF!</v>
      </c>
      <c r="R37" s="258"/>
      <c r="S37" s="257">
        <f>TB!M87</f>
        <v>0</v>
      </c>
      <c r="T37" s="258"/>
      <c r="U37" s="257">
        <f>TB!S87</f>
        <v>0</v>
      </c>
      <c r="V37" s="258"/>
      <c r="W37" s="257">
        <f>TB!Y87</f>
        <v>0</v>
      </c>
      <c r="X37" s="258"/>
      <c r="Y37" s="257">
        <f>TB!AE87</f>
        <v>0</v>
      </c>
      <c r="Z37" s="258"/>
      <c r="AA37" s="257">
        <f>TB!AK87</f>
        <v>0</v>
      </c>
      <c r="AB37" s="258"/>
      <c r="AC37" s="151" t="e">
        <f>SUM(L37:AA37)</f>
        <v>#REF!</v>
      </c>
    </row>
    <row r="38" spans="1:56" hidden="1"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</row>
    <row r="39" spans="1:56" s="129" customFormat="1" ht="12.75" hidden="1" thickBot="1">
      <c r="A39" s="266"/>
      <c r="B39" s="266"/>
      <c r="C39" s="266" t="s">
        <v>29</v>
      </c>
      <c r="D39" s="267" t="s">
        <v>7</v>
      </c>
      <c r="E39" s="154" t="e">
        <f>SUM(E36:E37)</f>
        <v>#REF!</v>
      </c>
      <c r="F39" s="267" t="s">
        <v>7</v>
      </c>
      <c r="G39" s="266"/>
      <c r="H39" s="267" t="s">
        <v>7</v>
      </c>
      <c r="I39" s="266"/>
      <c r="J39" s="267" t="s">
        <v>7</v>
      </c>
      <c r="K39" s="266"/>
      <c r="L39" s="267" t="s">
        <v>7</v>
      </c>
      <c r="M39" s="154" t="e">
        <f>SUM(M36:M37)</f>
        <v>#REF!</v>
      </c>
      <c r="N39" s="267" t="s">
        <v>7</v>
      </c>
      <c r="O39" s="266" t="e">
        <f>SUM(O36:O37)</f>
        <v>#REF!</v>
      </c>
      <c r="P39" s="268" t="s">
        <v>7</v>
      </c>
      <c r="Q39" s="154" t="e">
        <f>SUM(Q36:Q37)</f>
        <v>#REF!</v>
      </c>
      <c r="R39" s="268" t="s">
        <v>7</v>
      </c>
      <c r="S39" s="266">
        <f>SUM(S36:S37)</f>
        <v>0</v>
      </c>
      <c r="T39" s="268" t="s">
        <v>7</v>
      </c>
      <c r="U39" s="266">
        <f>SUM(U36:U37)</f>
        <v>0</v>
      </c>
      <c r="V39" s="268" t="s">
        <v>7</v>
      </c>
      <c r="W39" s="266">
        <f>SUM(W36:W37)</f>
        <v>7494.65</v>
      </c>
      <c r="X39" s="268" t="s">
        <v>7</v>
      </c>
      <c r="Y39" s="266">
        <f>SUM(Y36:Y37)</f>
        <v>1765.8</v>
      </c>
      <c r="Z39" s="268" t="s">
        <v>7</v>
      </c>
      <c r="AA39" s="266">
        <f>SUM(AA36:AA37)</f>
        <v>0</v>
      </c>
      <c r="AB39" s="268" t="s">
        <v>7</v>
      </c>
      <c r="AC39" s="154" t="e">
        <f>SUM(AC36:AC37)</f>
        <v>#REF!</v>
      </c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</row>
    <row r="40" spans="1:56" hidden="1">
      <c r="D40" s="148"/>
      <c r="E40" s="148" t="e">
        <f>E39+IS!#REF!</f>
        <v>#REF!</v>
      </c>
      <c r="F40" s="148"/>
      <c r="H40" s="148"/>
      <c r="J40" s="148"/>
      <c r="L40" s="148"/>
      <c r="M40" s="148" t="e">
        <f>M39+IS!#REF!</f>
        <v>#REF!</v>
      </c>
      <c r="N40" s="148"/>
      <c r="O40" s="148" t="e">
        <f>O39+IS!V49</f>
        <v>#REF!</v>
      </c>
      <c r="P40" s="269"/>
      <c r="Q40" s="148" t="e">
        <f>Q39+IS!Z49</f>
        <v>#REF!</v>
      </c>
      <c r="S40" s="148">
        <f>S39+IS!AB49</f>
        <v>0</v>
      </c>
      <c r="U40" s="124">
        <f>U39+IS!AF49</f>
        <v>0</v>
      </c>
      <c r="W40" s="124">
        <f>W39+IS!AJ49</f>
        <v>7494.65</v>
      </c>
      <c r="Y40" s="124">
        <f>Y39+IS!AN49</f>
        <v>1765.8</v>
      </c>
      <c r="AC40" s="128" t="e">
        <f>AC39+IS!AT49</f>
        <v>#REF!</v>
      </c>
    </row>
    <row r="41" spans="1:56" hidden="1"/>
    <row r="42" spans="1:56">
      <c r="A42" s="124" t="s">
        <v>83</v>
      </c>
    </row>
    <row r="43" spans="1:56"/>
    <row r="44" spans="1:56"/>
    <row r="45" spans="1:56">
      <c r="A45" s="129" t="s">
        <v>373</v>
      </c>
    </row>
    <row r="46" spans="1:56">
      <c r="A46" s="124" t="s">
        <v>180</v>
      </c>
    </row>
    <row r="47" spans="1:56"/>
    <row r="48" spans="1:56" hidden="1"/>
    <row r="49" spans="1:2" hidden="1">
      <c r="B49" s="124">
        <v>472753.27750000003</v>
      </c>
    </row>
    <row r="50" spans="1:2" hidden="1">
      <c r="A50" s="129" t="s">
        <v>84</v>
      </c>
      <c r="B50" s="124">
        <v>0</v>
      </c>
    </row>
    <row r="51" spans="1:2">
      <c r="A51" s="129"/>
    </row>
    <row r="52" spans="1:2">
      <c r="A52" s="129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24">
        <v>117000</v>
      </c>
    </row>
    <row r="62" spans="1:2" hidden="1">
      <c r="B62" s="124">
        <v>385</v>
      </c>
    </row>
    <row r="63" spans="1:2" hidden="1">
      <c r="B63" s="124">
        <v>25446.428571428569</v>
      </c>
    </row>
    <row r="64" spans="1:2" hidden="1">
      <c r="B64" s="124">
        <v>24318.652857142857</v>
      </c>
    </row>
    <row r="65" spans="2:2" hidden="1">
      <c r="B65" s="124">
        <v>4425.51</v>
      </c>
    </row>
    <row r="66" spans="2:2" hidden="1">
      <c r="B66" s="124">
        <v>66481.954285714281</v>
      </c>
    </row>
    <row r="67" spans="2:2" hidden="1">
      <c r="B67" s="124">
        <v>41594.761428571415</v>
      </c>
    </row>
    <row r="68" spans="2:2" hidden="1">
      <c r="B68" s="124">
        <v>81118.234642857133</v>
      </c>
    </row>
    <row r="69" spans="2:2" hidden="1">
      <c r="B69" s="124">
        <v>12791.97</v>
      </c>
    </row>
    <row r="70" spans="2:2" hidden="1">
      <c r="B70" s="124">
        <v>8232.6</v>
      </c>
    </row>
    <row r="71" spans="2:2" hidden="1">
      <c r="B71" s="124">
        <v>8932.2199999999993</v>
      </c>
    </row>
    <row r="72" spans="2:2" hidden="1">
      <c r="B72" s="124">
        <v>2200</v>
      </c>
    </row>
    <row r="73" spans="2:2" hidden="1">
      <c r="B73" s="124">
        <v>2675.5035999996589</v>
      </c>
    </row>
    <row r="74" spans="2:2" hidden="1"/>
    <row r="75" spans="2:2" hidden="1">
      <c r="B75" s="124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landscape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P74"/>
  <sheetViews>
    <sheetView zoomScaleNormal="100"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AI78" sqref="AI78"/>
    </sheetView>
  </sheetViews>
  <sheetFormatPr defaultRowHeight="12.75" customHeight="1"/>
  <cols>
    <col min="1" max="1" width="5.7109375" style="48" customWidth="1"/>
    <col min="2" max="2" width="7.85546875" style="45" customWidth="1"/>
    <col min="3" max="3" width="18.28515625" style="46" customWidth="1"/>
    <col min="4" max="4" width="0.5703125" style="46" hidden="1" customWidth="1"/>
    <col min="5" max="5" width="11" style="46" customWidth="1"/>
    <col min="6" max="6" width="12.42578125" style="47" hidden="1" customWidth="1"/>
    <col min="7" max="7" width="11.140625" style="46" hidden="1" customWidth="1"/>
    <col min="8" max="8" width="10.42578125" style="46" hidden="1" customWidth="1"/>
    <col min="9" max="9" width="10.28515625" style="46" hidden="1" customWidth="1"/>
    <col min="10" max="10" width="10.42578125" style="46" hidden="1" customWidth="1"/>
    <col min="11" max="11" width="10.7109375" style="46" hidden="1" customWidth="1"/>
    <col min="12" max="12" width="10.28515625" style="46" hidden="1" customWidth="1"/>
    <col min="13" max="14" width="9.85546875" style="46" hidden="1" customWidth="1"/>
    <col min="15" max="15" width="10.42578125" style="46" hidden="1" customWidth="1"/>
    <col min="16" max="16" width="11.85546875" style="46" hidden="1" customWidth="1"/>
    <col min="17" max="17" width="9.5703125" style="46" hidden="1" customWidth="1"/>
    <col min="18" max="18" width="9.7109375" style="46" hidden="1" customWidth="1"/>
    <col min="19" max="19" width="9.42578125" style="46" hidden="1" customWidth="1"/>
    <col min="20" max="20" width="11.5703125" style="46" hidden="1" customWidth="1"/>
    <col min="21" max="21" width="9.85546875" style="46" hidden="1" customWidth="1"/>
    <col min="22" max="22" width="10.7109375" style="46" customWidth="1"/>
    <col min="23" max="23" width="11" style="46" customWidth="1"/>
    <col min="24" max="24" width="8.7109375" style="46" hidden="1" customWidth="1"/>
    <col min="25" max="25" width="8.85546875" style="46" hidden="1" customWidth="1"/>
    <col min="26" max="26" width="9" style="46" hidden="1" customWidth="1"/>
    <col min="27" max="27" width="8.85546875" style="46" hidden="1" customWidth="1"/>
    <col min="28" max="28" width="8.5703125" style="46" hidden="1" customWidth="1"/>
    <col min="29" max="29" width="9" style="46" hidden="1" customWidth="1"/>
    <col min="30" max="34" width="10.28515625" style="46" hidden="1" customWidth="1"/>
    <col min="35" max="35" width="10.85546875" style="46" customWidth="1"/>
    <col min="36" max="36" width="11.5703125" style="46" customWidth="1"/>
    <col min="37" max="37" width="14" style="46" customWidth="1"/>
    <col min="38" max="16384" width="9.140625" style="46"/>
  </cols>
  <sheetData>
    <row r="1" spans="1:42" ht="12.75" customHeight="1">
      <c r="A1" s="44" t="s">
        <v>182</v>
      </c>
    </row>
    <row r="2" spans="1:42" ht="12.75" customHeight="1">
      <c r="A2" s="44" t="s">
        <v>515</v>
      </c>
    </row>
    <row r="3" spans="1:42" ht="12.75" customHeight="1">
      <c r="B3" s="48"/>
    </row>
    <row r="4" spans="1:42" s="49" customFormat="1" ht="12.75" customHeight="1">
      <c r="A4" s="44"/>
      <c r="B4" s="237" t="s">
        <v>183</v>
      </c>
      <c r="C4" s="49" t="s">
        <v>184</v>
      </c>
      <c r="E4" s="50"/>
      <c r="F4" s="238">
        <v>2012</v>
      </c>
      <c r="G4" s="50" t="s">
        <v>185</v>
      </c>
      <c r="H4" s="50" t="s">
        <v>186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>
        <v>2015</v>
      </c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 t="s">
        <v>344</v>
      </c>
      <c r="AJ4" s="50">
        <v>2016</v>
      </c>
      <c r="AK4" s="50"/>
      <c r="AL4" s="50"/>
      <c r="AM4" s="50"/>
      <c r="AN4" s="50"/>
      <c r="AO4" s="50"/>
      <c r="AP4" s="50"/>
    </row>
    <row r="5" spans="1:42" s="49" customFormat="1" ht="12.75" customHeight="1">
      <c r="A5" s="44" t="s">
        <v>187</v>
      </c>
      <c r="B5" s="237"/>
      <c r="E5" s="50" t="s">
        <v>188</v>
      </c>
      <c r="F5" s="239" t="s">
        <v>189</v>
      </c>
      <c r="G5" s="50" t="s">
        <v>190</v>
      </c>
      <c r="H5" s="50" t="s">
        <v>191</v>
      </c>
      <c r="I5" s="50" t="s">
        <v>192</v>
      </c>
      <c r="J5" s="50" t="s">
        <v>193</v>
      </c>
      <c r="K5" s="50" t="s">
        <v>194</v>
      </c>
      <c r="L5" s="50" t="s">
        <v>195</v>
      </c>
      <c r="M5" s="50" t="s">
        <v>196</v>
      </c>
      <c r="N5" s="50" t="s">
        <v>197</v>
      </c>
      <c r="O5" s="50" t="s">
        <v>198</v>
      </c>
      <c r="P5" s="50" t="s">
        <v>199</v>
      </c>
      <c r="Q5" s="50" t="s">
        <v>200</v>
      </c>
      <c r="R5" s="50" t="s">
        <v>201</v>
      </c>
      <c r="S5" s="50" t="s">
        <v>202</v>
      </c>
      <c r="T5" s="50" t="s">
        <v>203</v>
      </c>
      <c r="U5" s="50" t="s">
        <v>29</v>
      </c>
      <c r="V5" s="50" t="s">
        <v>190</v>
      </c>
      <c r="W5" s="50" t="s">
        <v>333</v>
      </c>
      <c r="X5" s="50" t="s">
        <v>334</v>
      </c>
      <c r="Y5" s="50" t="s">
        <v>335</v>
      </c>
      <c r="Z5" s="50" t="s">
        <v>336</v>
      </c>
      <c r="AA5" s="50" t="s">
        <v>44</v>
      </c>
      <c r="AB5" s="50" t="s">
        <v>337</v>
      </c>
      <c r="AC5" s="50" t="s">
        <v>338</v>
      </c>
      <c r="AD5" s="50" t="s">
        <v>339</v>
      </c>
      <c r="AE5" s="50" t="s">
        <v>340</v>
      </c>
      <c r="AF5" s="50" t="s">
        <v>341</v>
      </c>
      <c r="AG5" s="50" t="s">
        <v>342</v>
      </c>
      <c r="AH5" s="50" t="s">
        <v>343</v>
      </c>
      <c r="AI5" s="50">
        <v>2015</v>
      </c>
      <c r="AJ5" s="50" t="s">
        <v>190</v>
      </c>
      <c r="AK5" s="50"/>
      <c r="AL5" s="50"/>
      <c r="AM5" s="50"/>
      <c r="AN5" s="50"/>
      <c r="AO5" s="50"/>
      <c r="AP5" s="50"/>
    </row>
    <row r="6" spans="1:42" ht="12.75" customHeight="1">
      <c r="A6" s="44" t="s">
        <v>102</v>
      </c>
      <c r="E6" s="51"/>
      <c r="F6" s="52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</row>
    <row r="7" spans="1:42" ht="12.75" customHeight="1">
      <c r="A7" s="48">
        <v>41085</v>
      </c>
      <c r="B7" s="53" t="s">
        <v>204</v>
      </c>
      <c r="C7" s="240" t="s">
        <v>205</v>
      </c>
      <c r="E7" s="54">
        <f>26500/1.12</f>
        <v>23660.714285714283</v>
      </c>
      <c r="F7" s="47">
        <f>E7</f>
        <v>23660.714285714283</v>
      </c>
      <c r="G7" s="54">
        <f t="shared" ref="G7:G14" si="0">E7</f>
        <v>23660.714285714283</v>
      </c>
      <c r="H7" s="54">
        <f t="shared" ref="H7:H14" si="1">G7/36</f>
        <v>657.24206349206338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657.24206349206338</v>
      </c>
      <c r="P7" s="54">
        <v>657.24206349206338</v>
      </c>
      <c r="Q7" s="54">
        <v>657.24206349206338</v>
      </c>
      <c r="R7" s="54">
        <v>657.24206349206338</v>
      </c>
      <c r="S7" s="54">
        <v>657.24206349206338</v>
      </c>
      <c r="T7" s="54">
        <v>657.24206349206338</v>
      </c>
      <c r="U7" s="54">
        <f>SUM(I7:T7)</f>
        <v>3943.4523809523807</v>
      </c>
      <c r="V7" s="54">
        <v>3943.4523809523753</v>
      </c>
      <c r="W7" s="54">
        <f>E7/60</f>
        <v>394.34523809523802</v>
      </c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>
        <f>SUM(W7:AH7)</f>
        <v>394.34523809523802</v>
      </c>
      <c r="AJ7" s="54">
        <f>V7-AI7</f>
        <v>3549.1071428571372</v>
      </c>
      <c r="AK7" s="54"/>
    </row>
    <row r="8" spans="1:42" ht="12.75" customHeight="1">
      <c r="A8" s="48">
        <v>41107</v>
      </c>
      <c r="B8" s="53" t="s">
        <v>206</v>
      </c>
      <c r="C8" s="240" t="s">
        <v>207</v>
      </c>
      <c r="E8" s="54">
        <f>36473.9/1.12</f>
        <v>32565.982142857141</v>
      </c>
      <c r="F8" s="47">
        <f t="shared" ref="F8:F14" si="2">E8</f>
        <v>32565.982142857141</v>
      </c>
      <c r="G8" s="54">
        <f t="shared" si="0"/>
        <v>32565.982142857141</v>
      </c>
      <c r="H8" s="54">
        <f t="shared" si="1"/>
        <v>904.61061507936506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904.61061507936506</v>
      </c>
      <c r="Q8" s="54">
        <v>904.61061507936506</v>
      </c>
      <c r="R8" s="54">
        <v>904.61061507936506</v>
      </c>
      <c r="S8" s="54">
        <v>904.61061507936506</v>
      </c>
      <c r="T8" s="54">
        <v>904.61061507936506</v>
      </c>
      <c r="U8" s="54">
        <f>SUM(I8:T8)</f>
        <v>4523.0530753968251</v>
      </c>
      <c r="V8" s="54">
        <v>6332.2743055555547</v>
      </c>
      <c r="W8" s="54">
        <f>E8/60</f>
        <v>542.76636904761904</v>
      </c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>
        <f t="shared" ref="AI8:AI18" si="3">SUM(W8:AH8)</f>
        <v>542.76636904761904</v>
      </c>
      <c r="AJ8" s="54">
        <f t="shared" ref="AJ8:AJ18" si="4">V8-AI8</f>
        <v>5789.5079365079355</v>
      </c>
      <c r="AK8" s="54"/>
    </row>
    <row r="9" spans="1:42" ht="12.75" customHeight="1">
      <c r="A9" s="48">
        <v>41107</v>
      </c>
      <c r="B9" s="53" t="s">
        <v>208</v>
      </c>
      <c r="C9" s="240" t="s">
        <v>209</v>
      </c>
      <c r="E9" s="54">
        <v>132500</v>
      </c>
      <c r="F9" s="47">
        <f t="shared" si="2"/>
        <v>132500</v>
      </c>
      <c r="G9" s="54">
        <f t="shared" si="0"/>
        <v>132500</v>
      </c>
      <c r="H9" s="54">
        <f t="shared" si="1"/>
        <v>3680.5555555555557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3680.56</v>
      </c>
      <c r="Q9" s="54">
        <v>3680.56</v>
      </c>
      <c r="R9" s="54">
        <v>3680.56</v>
      </c>
      <c r="S9" s="54">
        <v>3680.56</v>
      </c>
      <c r="T9" s="54">
        <v>3680.56</v>
      </c>
      <c r="U9" s="54">
        <f>SUM(I9:T9)</f>
        <v>18402.8</v>
      </c>
      <c r="V9" s="54">
        <v>25763.866666666661</v>
      </c>
      <c r="W9" s="54">
        <f t="shared" ref="W9:W18" si="5">E9/60</f>
        <v>2208.3333333333335</v>
      </c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>
        <f t="shared" si="3"/>
        <v>2208.3333333333335</v>
      </c>
      <c r="AJ9" s="54">
        <f t="shared" si="4"/>
        <v>23555.533333333329</v>
      </c>
      <c r="AK9" s="54"/>
    </row>
    <row r="10" spans="1:42" ht="12.75" customHeight="1">
      <c r="A10" s="48">
        <v>41114</v>
      </c>
      <c r="B10" s="53" t="s">
        <v>210</v>
      </c>
      <c r="C10" s="240" t="s">
        <v>211</v>
      </c>
      <c r="E10" s="54">
        <f>6000/1.12</f>
        <v>5357.1428571428569</v>
      </c>
      <c r="F10" s="47">
        <f>E10</f>
        <v>5357.1428571428569</v>
      </c>
      <c r="G10" s="54">
        <f>E10</f>
        <v>5357.1428571428569</v>
      </c>
      <c r="H10" s="54">
        <f>G10/36</f>
        <v>148.8095238095238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148.8095238095238</v>
      </c>
      <c r="Q10" s="54">
        <v>148.8095238095238</v>
      </c>
      <c r="R10" s="54">
        <v>148.8095238095238</v>
      </c>
      <c r="S10" s="54">
        <v>148.8095238095238</v>
      </c>
      <c r="T10" s="54">
        <v>148.8095238095238</v>
      </c>
      <c r="U10" s="54">
        <f t="shared" ref="U10:U17" si="6">SUM(I10:T10)</f>
        <v>744.04761904761904</v>
      </c>
      <c r="V10" s="54">
        <v>1041.6666666666654</v>
      </c>
      <c r="W10" s="54">
        <f t="shared" si="5"/>
        <v>89.285714285714278</v>
      </c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>
        <f t="shared" si="3"/>
        <v>89.285714285714278</v>
      </c>
      <c r="AJ10" s="54">
        <f t="shared" si="4"/>
        <v>952.38095238095116</v>
      </c>
      <c r="AK10" s="54"/>
    </row>
    <row r="11" spans="1:42" ht="12.75" customHeight="1">
      <c r="A11" s="48">
        <v>41114</v>
      </c>
      <c r="B11" s="53" t="s">
        <v>212</v>
      </c>
      <c r="C11" s="240" t="s">
        <v>213</v>
      </c>
      <c r="E11" s="54">
        <v>2699.25</v>
      </c>
      <c r="F11" s="47">
        <f t="shared" si="2"/>
        <v>2699.25</v>
      </c>
      <c r="G11" s="54">
        <f t="shared" si="0"/>
        <v>2699.25</v>
      </c>
      <c r="H11" s="54">
        <f t="shared" si="1"/>
        <v>74.979166666666671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74.98</v>
      </c>
      <c r="Q11" s="54">
        <v>74.98</v>
      </c>
      <c r="R11" s="54">
        <v>74.98</v>
      </c>
      <c r="S11" s="54">
        <v>74.98</v>
      </c>
      <c r="T11" s="54">
        <v>74.98</v>
      </c>
      <c r="U11" s="54">
        <f>SUM(I11:T11)</f>
        <v>374.90000000000003</v>
      </c>
      <c r="V11" s="54">
        <v>524.85</v>
      </c>
      <c r="W11" s="54">
        <f t="shared" si="5"/>
        <v>44.987499999999997</v>
      </c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>
        <f t="shared" si="3"/>
        <v>44.987499999999997</v>
      </c>
      <c r="AJ11" s="54">
        <f t="shared" si="4"/>
        <v>479.86250000000001</v>
      </c>
      <c r="AK11" s="54"/>
    </row>
    <row r="12" spans="1:42" ht="12.75" customHeight="1">
      <c r="A12" s="48">
        <v>41116</v>
      </c>
      <c r="B12" s="53" t="s">
        <v>214</v>
      </c>
      <c r="C12" s="240" t="s">
        <v>215</v>
      </c>
      <c r="E12" s="54">
        <v>4999</v>
      </c>
      <c r="F12" s="47">
        <f t="shared" si="2"/>
        <v>4999</v>
      </c>
      <c r="G12" s="54">
        <f t="shared" si="0"/>
        <v>4999</v>
      </c>
      <c r="H12" s="54">
        <f t="shared" si="1"/>
        <v>138.86111111111111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138.86000000000001</v>
      </c>
      <c r="Q12" s="54">
        <v>138.86000000000001</v>
      </c>
      <c r="R12" s="54">
        <v>138.86000000000001</v>
      </c>
      <c r="S12" s="54">
        <v>138.86000000000001</v>
      </c>
      <c r="T12" s="54">
        <v>138.86000000000001</v>
      </c>
      <c r="U12" s="54">
        <f>SUM(I12:T12)</f>
        <v>694.30000000000007</v>
      </c>
      <c r="V12" s="54">
        <v>972.03333333333353</v>
      </c>
      <c r="W12" s="54">
        <f t="shared" si="5"/>
        <v>83.316666666666663</v>
      </c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>
        <f t="shared" si="3"/>
        <v>83.316666666666663</v>
      </c>
      <c r="AJ12" s="54">
        <f t="shared" si="4"/>
        <v>888.71666666666692</v>
      </c>
      <c r="AK12" s="54"/>
    </row>
    <row r="13" spans="1:42" ht="12.75" customHeight="1">
      <c r="A13" s="48">
        <v>41151</v>
      </c>
      <c r="B13" s="53" t="s">
        <v>216</v>
      </c>
      <c r="C13" s="240" t="s">
        <v>217</v>
      </c>
      <c r="E13" s="54">
        <f>11300/1.12</f>
        <v>10089.285714285714</v>
      </c>
      <c r="F13" s="47">
        <f t="shared" si="2"/>
        <v>10089.285714285714</v>
      </c>
      <c r="G13" s="54">
        <f t="shared" si="0"/>
        <v>10089.285714285714</v>
      </c>
      <c r="H13" s="54">
        <f t="shared" si="1"/>
        <v>280.25793650793651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/>
      <c r="Q13" s="54">
        <v>280.25793650793651</v>
      </c>
      <c r="R13" s="54">
        <v>280.25793650793651</v>
      </c>
      <c r="S13" s="54">
        <v>280.25793650793651</v>
      </c>
      <c r="T13" s="54">
        <v>280.25793650793651</v>
      </c>
      <c r="U13" s="54">
        <f t="shared" si="6"/>
        <v>1121.031746031746</v>
      </c>
      <c r="V13" s="54">
        <v>2242.0634920634943</v>
      </c>
      <c r="W13" s="54">
        <f t="shared" si="5"/>
        <v>168.1547619047619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>
        <f t="shared" si="3"/>
        <v>168.1547619047619</v>
      </c>
      <c r="AJ13" s="54">
        <f t="shared" si="4"/>
        <v>2073.9087301587324</v>
      </c>
      <c r="AK13" s="54"/>
    </row>
    <row r="14" spans="1:42" ht="12.75" customHeight="1">
      <c r="A14" s="48">
        <v>41134</v>
      </c>
      <c r="B14" s="53" t="s">
        <v>218</v>
      </c>
      <c r="C14" s="240" t="s">
        <v>207</v>
      </c>
      <c r="E14" s="54">
        <f>(160137.55-519.55)/1.12</f>
        <v>142516.07142857142</v>
      </c>
      <c r="F14" s="47">
        <f t="shared" si="2"/>
        <v>142516.07142857142</v>
      </c>
      <c r="G14" s="54">
        <f t="shared" si="0"/>
        <v>142516.07142857142</v>
      </c>
      <c r="H14" s="54">
        <f t="shared" si="1"/>
        <v>3958.7797619047615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3958.7797619047615</v>
      </c>
      <c r="Q14" s="54">
        <v>3958.7797619047615</v>
      </c>
      <c r="R14" s="54">
        <v>3958.7797619047615</v>
      </c>
      <c r="S14" s="54">
        <v>3958.7797619047615</v>
      </c>
      <c r="T14" s="54">
        <v>3958.7797619047615</v>
      </c>
      <c r="U14" s="54">
        <f>SUM(I14:T14)</f>
        <v>19793.898809523809</v>
      </c>
      <c r="V14" s="54">
        <v>27711.458333333292</v>
      </c>
      <c r="W14" s="54">
        <f t="shared" si="5"/>
        <v>2375.2678571428569</v>
      </c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>
        <f t="shared" si="3"/>
        <v>2375.2678571428569</v>
      </c>
      <c r="AJ14" s="54">
        <f t="shared" si="4"/>
        <v>25336.190476190437</v>
      </c>
      <c r="AK14" s="54"/>
    </row>
    <row r="15" spans="1:42" ht="12.75" customHeight="1">
      <c r="A15" s="48">
        <v>41170</v>
      </c>
      <c r="B15" s="53" t="s">
        <v>219</v>
      </c>
      <c r="C15" s="240" t="s">
        <v>220</v>
      </c>
      <c r="E15" s="54">
        <v>11160.714285714284</v>
      </c>
      <c r="F15" s="47">
        <f>E15</f>
        <v>11160.714285714284</v>
      </c>
      <c r="G15" s="54">
        <v>11160.714285714284</v>
      </c>
      <c r="H15" s="54">
        <f>G15/36</f>
        <v>310.01984126984121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/>
      <c r="R15" s="54">
        <f>H15</f>
        <v>310.01984126984121</v>
      </c>
      <c r="S15" s="54">
        <v>310.01984126984121</v>
      </c>
      <c r="T15" s="54">
        <v>310.01984126984121</v>
      </c>
      <c r="U15" s="54">
        <f t="shared" si="6"/>
        <v>930.05952380952363</v>
      </c>
      <c r="V15" s="54">
        <v>2790.1785714285743</v>
      </c>
      <c r="W15" s="54">
        <f t="shared" si="5"/>
        <v>186.01190476190473</v>
      </c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>
        <f t="shared" si="3"/>
        <v>186.01190476190473</v>
      </c>
      <c r="AJ15" s="54">
        <f t="shared" si="4"/>
        <v>2604.1666666666697</v>
      </c>
      <c r="AK15" s="54"/>
    </row>
    <row r="16" spans="1:42" ht="12.75" customHeight="1">
      <c r="A16" s="48">
        <v>41184</v>
      </c>
      <c r="B16" s="53" t="s">
        <v>221</v>
      </c>
      <c r="C16" s="240" t="s">
        <v>222</v>
      </c>
      <c r="E16" s="54">
        <f>3550/1.12</f>
        <v>3169.6428571428569</v>
      </c>
      <c r="F16" s="47">
        <f>E16</f>
        <v>3169.6428571428569</v>
      </c>
      <c r="G16" s="54">
        <f>E16</f>
        <v>3169.6428571428569</v>
      </c>
      <c r="H16" s="54">
        <f>G16/36</f>
        <v>88.04563492063491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f>H16</f>
        <v>88.04563492063491</v>
      </c>
      <c r="S16" s="54">
        <v>88.04563492063491</v>
      </c>
      <c r="T16" s="54">
        <v>88.04563492063491</v>
      </c>
      <c r="U16" s="54">
        <f t="shared" si="6"/>
        <v>264.1369047619047</v>
      </c>
      <c r="V16" s="54">
        <v>792.41071428571422</v>
      </c>
      <c r="W16" s="54">
        <f t="shared" si="5"/>
        <v>52.827380952380949</v>
      </c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>
        <f t="shared" si="3"/>
        <v>52.827380952380949</v>
      </c>
      <c r="AJ16" s="54">
        <f t="shared" si="4"/>
        <v>739.58333333333326</v>
      </c>
      <c r="AK16" s="54"/>
    </row>
    <row r="17" spans="1:37" ht="12.75" customHeight="1">
      <c r="A17" s="48">
        <v>41218</v>
      </c>
      <c r="B17" s="53" t="s">
        <v>223</v>
      </c>
      <c r="C17" s="240" t="s">
        <v>220</v>
      </c>
      <c r="E17" s="54">
        <f>12500/1.12</f>
        <v>11160.714285714284</v>
      </c>
      <c r="F17" s="47">
        <f>E17</f>
        <v>11160.714285714284</v>
      </c>
      <c r="G17" s="54">
        <f>E17</f>
        <v>11160.714285714284</v>
      </c>
      <c r="H17" s="54">
        <f>G17/36</f>
        <v>310.01984126984121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/>
      <c r="S17" s="54"/>
      <c r="T17" s="54">
        <f>H17*2</f>
        <v>620.03968253968242</v>
      </c>
      <c r="U17" s="54">
        <f t="shared" si="6"/>
        <v>620.03968253968242</v>
      </c>
      <c r="V17" s="54">
        <v>3100.1984126984153</v>
      </c>
      <c r="W17" s="54">
        <f t="shared" si="5"/>
        <v>186.01190476190473</v>
      </c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>
        <f t="shared" si="3"/>
        <v>186.01190476190473</v>
      </c>
      <c r="AJ17" s="54">
        <f t="shared" si="4"/>
        <v>2914.1865079365107</v>
      </c>
      <c r="AK17" s="54"/>
    </row>
    <row r="18" spans="1:37" ht="12.75" customHeight="1">
      <c r="A18" s="48">
        <v>41311</v>
      </c>
      <c r="B18" s="53" t="s">
        <v>358</v>
      </c>
      <c r="C18" s="240"/>
      <c r="E18" s="54">
        <f>25650/1.12</f>
        <v>22901.785714285714</v>
      </c>
      <c r="F18" s="54">
        <f>25650/1.12</f>
        <v>22901.785714285714</v>
      </c>
      <c r="G18" s="54">
        <f>E18</f>
        <v>22901.785714285714</v>
      </c>
      <c r="H18" s="54">
        <f>G18/36</f>
        <v>636.16071428571422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>
        <v>8270.0978571428604</v>
      </c>
      <c r="W18" s="54">
        <f t="shared" si="5"/>
        <v>381.69642857142856</v>
      </c>
      <c r="AI18" s="54">
        <f t="shared" si="3"/>
        <v>381.69642857142856</v>
      </c>
      <c r="AJ18" s="54">
        <f t="shared" si="4"/>
        <v>7888.401428571432</v>
      </c>
      <c r="AK18" s="54"/>
    </row>
    <row r="19" spans="1:37" s="49" customFormat="1" ht="12.75" customHeight="1">
      <c r="A19" s="44"/>
      <c r="B19" s="237" t="s">
        <v>224</v>
      </c>
      <c r="E19" s="241">
        <f>SUM(E6:E18)</f>
        <v>402780.30357142852</v>
      </c>
      <c r="F19" s="241">
        <f>SUM(F6:F18)</f>
        <v>402780.30357142852</v>
      </c>
      <c r="G19" s="241">
        <f t="shared" ref="G19:AG19" si="7">SUM(G6:G18)</f>
        <v>402780.30357142852</v>
      </c>
      <c r="H19" s="241">
        <f t="shared" si="7"/>
        <v>11188.341765873014</v>
      </c>
      <c r="I19" s="241">
        <f t="shared" si="7"/>
        <v>0</v>
      </c>
      <c r="J19" s="241">
        <f t="shared" si="7"/>
        <v>0</v>
      </c>
      <c r="K19" s="241">
        <f t="shared" si="7"/>
        <v>0</v>
      </c>
      <c r="L19" s="241">
        <f t="shared" si="7"/>
        <v>0</v>
      </c>
      <c r="M19" s="241">
        <f t="shared" si="7"/>
        <v>0</v>
      </c>
      <c r="N19" s="241">
        <f t="shared" si="7"/>
        <v>0</v>
      </c>
      <c r="O19" s="241">
        <f t="shared" si="7"/>
        <v>657.24206349206338</v>
      </c>
      <c r="P19" s="241">
        <f t="shared" si="7"/>
        <v>9563.8419642857134</v>
      </c>
      <c r="Q19" s="241">
        <f t="shared" si="7"/>
        <v>9844.0999007936498</v>
      </c>
      <c r="R19" s="241">
        <f t="shared" si="7"/>
        <v>10242.165376984125</v>
      </c>
      <c r="S19" s="241">
        <f t="shared" si="7"/>
        <v>10242.165376984125</v>
      </c>
      <c r="T19" s="241">
        <f t="shared" si="7"/>
        <v>10862.205059523807</v>
      </c>
      <c r="U19" s="241">
        <f t="shared" si="7"/>
        <v>51411.719742063498</v>
      </c>
      <c r="V19" s="241">
        <v>83484.550734126926</v>
      </c>
      <c r="W19" s="241">
        <f>SUM(W6:W18)</f>
        <v>6713.005059523809</v>
      </c>
      <c r="X19" s="241">
        <f>SUM(X6:X18)</f>
        <v>0</v>
      </c>
      <c r="Y19" s="241">
        <f>SUM(Y6:Y18)</f>
        <v>0</v>
      </c>
      <c r="Z19" s="241">
        <f t="shared" si="7"/>
        <v>0</v>
      </c>
      <c r="AA19" s="241">
        <f t="shared" si="7"/>
        <v>0</v>
      </c>
      <c r="AB19" s="241">
        <f t="shared" si="7"/>
        <v>0</v>
      </c>
      <c r="AC19" s="241">
        <f t="shared" si="7"/>
        <v>0</v>
      </c>
      <c r="AD19" s="241">
        <f>SUM(AD6:AD18)</f>
        <v>0</v>
      </c>
      <c r="AE19" s="241">
        <f t="shared" si="7"/>
        <v>0</v>
      </c>
      <c r="AF19" s="241">
        <f t="shared" si="7"/>
        <v>0</v>
      </c>
      <c r="AG19" s="241">
        <f t="shared" si="7"/>
        <v>0</v>
      </c>
      <c r="AH19" s="241">
        <f>SUM(AH6:AH18)</f>
        <v>0</v>
      </c>
      <c r="AI19" s="241">
        <f>SUM(AI6:AI18)</f>
        <v>6713.005059523809</v>
      </c>
      <c r="AJ19" s="241">
        <f>SUM(AJ6:AJ18)</f>
        <v>76771.545674603141</v>
      </c>
      <c r="AK19" s="55">
        <f>AJ19+AI19</f>
        <v>83484.550734126955</v>
      </c>
    </row>
    <row r="20" spans="1:37" ht="12.75" customHeight="1">
      <c r="E20" s="242"/>
      <c r="F20" s="243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54"/>
    </row>
    <row r="21" spans="1:37" ht="12.75" customHeight="1">
      <c r="A21" s="44" t="s">
        <v>225</v>
      </c>
      <c r="E21" s="56"/>
      <c r="F21" s="52"/>
      <c r="G21" s="244"/>
      <c r="H21" s="244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4"/>
    </row>
    <row r="22" spans="1:37" ht="12.75" customHeight="1">
      <c r="A22" s="48">
        <v>41212</v>
      </c>
      <c r="B22" s="53" t="s">
        <v>226</v>
      </c>
      <c r="C22" s="46" t="s">
        <v>381</v>
      </c>
      <c r="D22" s="51"/>
      <c r="E22" s="47">
        <f>3168/1.12</f>
        <v>2828.5714285714284</v>
      </c>
      <c r="F22" s="47">
        <f t="shared" ref="F22:F28" si="8">E22</f>
        <v>2828.5714285714284</v>
      </c>
      <c r="G22" s="47">
        <f>E22</f>
        <v>2828.5714285714284</v>
      </c>
      <c r="H22" s="54">
        <f t="shared" ref="H22:H28" si="9">E22/36</f>
        <v>78.571428571428569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245">
        <v>78.571428571428569</v>
      </c>
      <c r="T22" s="245">
        <v>78.571428571428569</v>
      </c>
      <c r="U22" s="54">
        <f t="shared" ref="U22:U28" si="10">SUM(I22:T22)</f>
        <v>157.14285714285714</v>
      </c>
      <c r="V22" s="54">
        <v>785.71428571428567</v>
      </c>
      <c r="W22" s="54">
        <f>E22/60</f>
        <v>47.142857142857139</v>
      </c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>
        <f>SUM(W22:AH22)</f>
        <v>47.142857142857139</v>
      </c>
      <c r="AJ22" s="54">
        <f t="shared" ref="AJ22:AJ38" si="11">V22-AI22</f>
        <v>738.57142857142856</v>
      </c>
      <c r="AK22" s="54"/>
    </row>
    <row r="23" spans="1:37" ht="12.75" customHeight="1">
      <c r="A23" s="48">
        <v>41138</v>
      </c>
      <c r="B23" s="45" t="s">
        <v>227</v>
      </c>
      <c r="C23" s="46" t="s">
        <v>228</v>
      </c>
      <c r="D23" s="51"/>
      <c r="E23" s="47">
        <v>1339.29</v>
      </c>
      <c r="F23" s="47">
        <f t="shared" si="8"/>
        <v>1339.29</v>
      </c>
      <c r="G23" s="47">
        <f t="shared" ref="G23:G28" si="12">E23</f>
        <v>1339.29</v>
      </c>
      <c r="H23" s="54">
        <f t="shared" si="9"/>
        <v>37.202500000000001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37.202500000000001</v>
      </c>
      <c r="R23" s="54">
        <v>37.202500000000001</v>
      </c>
      <c r="S23" s="54">
        <v>37.202500000000001</v>
      </c>
      <c r="T23" s="54">
        <v>37.202500000000001</v>
      </c>
      <c r="U23" s="54">
        <f t="shared" si="10"/>
        <v>148.81</v>
      </c>
      <c r="V23" s="54">
        <v>297.62</v>
      </c>
      <c r="W23" s="54">
        <f>E23/60</f>
        <v>22.3215</v>
      </c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>
        <f t="shared" ref="AI23:AI38" si="13">SUM(W23:AH23)</f>
        <v>22.3215</v>
      </c>
      <c r="AJ23" s="54">
        <f t="shared" si="11"/>
        <v>275.29849999999999</v>
      </c>
      <c r="AK23" s="54"/>
    </row>
    <row r="24" spans="1:37" ht="12.75" customHeight="1">
      <c r="A24" s="48">
        <v>41094</v>
      </c>
      <c r="B24" s="45" t="s">
        <v>229</v>
      </c>
      <c r="C24" s="46" t="s">
        <v>230</v>
      </c>
      <c r="D24" s="51"/>
      <c r="E24" s="47">
        <v>2980</v>
      </c>
      <c r="F24" s="47">
        <f t="shared" si="8"/>
        <v>2980</v>
      </c>
      <c r="G24" s="47">
        <f t="shared" si="12"/>
        <v>2980</v>
      </c>
      <c r="H24" s="54">
        <f t="shared" si="9"/>
        <v>82.777777777777771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82.777777777777771</v>
      </c>
      <c r="Q24" s="54">
        <v>82.777777777777771</v>
      </c>
      <c r="R24" s="54">
        <v>82.777777777777771</v>
      </c>
      <c r="S24" s="54">
        <v>82.777777777777771</v>
      </c>
      <c r="T24" s="54">
        <v>82.777777777777771</v>
      </c>
      <c r="U24" s="54">
        <f t="shared" si="10"/>
        <v>413.88888888888886</v>
      </c>
      <c r="V24" s="54">
        <v>579.44444444444434</v>
      </c>
      <c r="W24" s="54">
        <f t="shared" ref="W24:W36" si="14">E24/60</f>
        <v>49.666666666666664</v>
      </c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>
        <f t="shared" si="13"/>
        <v>49.666666666666664</v>
      </c>
      <c r="AJ24" s="54">
        <f t="shared" si="11"/>
        <v>529.77777777777771</v>
      </c>
      <c r="AK24" s="54"/>
    </row>
    <row r="25" spans="1:37" ht="12.75" customHeight="1">
      <c r="A25" s="48">
        <v>41172</v>
      </c>
      <c r="B25" s="45" t="s">
        <v>231</v>
      </c>
      <c r="C25" s="46" t="s">
        <v>232</v>
      </c>
      <c r="D25" s="51"/>
      <c r="E25" s="47">
        <f>555/1.12</f>
        <v>495.53571428571422</v>
      </c>
      <c r="F25" s="47">
        <f t="shared" si="8"/>
        <v>495.53571428571422</v>
      </c>
      <c r="G25" s="47">
        <f t="shared" si="12"/>
        <v>495.53571428571422</v>
      </c>
      <c r="H25" s="54">
        <f t="shared" si="9"/>
        <v>13.764880952380951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f>H25</f>
        <v>13.764880952380951</v>
      </c>
      <c r="S25" s="54">
        <v>13.764880952380951</v>
      </c>
      <c r="T25" s="54">
        <v>13.764880952380951</v>
      </c>
      <c r="U25" s="54">
        <f t="shared" si="10"/>
        <v>41.294642857142854</v>
      </c>
      <c r="V25" s="54">
        <v>123.88392857142856</v>
      </c>
      <c r="W25" s="54">
        <f t="shared" si="14"/>
        <v>8.2589285714285712</v>
      </c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>
        <f t="shared" si="13"/>
        <v>8.2589285714285712</v>
      </c>
      <c r="AJ25" s="54">
        <f t="shared" si="11"/>
        <v>115.62499999999999</v>
      </c>
      <c r="AK25" s="54"/>
    </row>
    <row r="26" spans="1:37" ht="12.75" customHeight="1">
      <c r="A26" s="48">
        <v>41258</v>
      </c>
      <c r="B26" s="45" t="s">
        <v>256</v>
      </c>
      <c r="C26" s="46" t="s">
        <v>257</v>
      </c>
      <c r="D26" s="51"/>
      <c r="E26" s="47">
        <f>175/1.12</f>
        <v>156.24999999999997</v>
      </c>
      <c r="F26" s="47">
        <f t="shared" si="8"/>
        <v>156.24999999999997</v>
      </c>
      <c r="G26" s="47">
        <f t="shared" si="12"/>
        <v>156.24999999999997</v>
      </c>
      <c r="H26" s="54">
        <f t="shared" si="9"/>
        <v>4.3402777777777768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>
        <v>4.3402777777777768</v>
      </c>
      <c r="U26" s="54">
        <f t="shared" si="10"/>
        <v>4.3402777777777768</v>
      </c>
      <c r="V26" s="54">
        <v>47.743055555555522</v>
      </c>
      <c r="W26" s="54">
        <f t="shared" si="14"/>
        <v>2.6041666666666661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>
        <f t="shared" si="13"/>
        <v>2.6041666666666661</v>
      </c>
      <c r="AJ26" s="54">
        <f t="shared" si="11"/>
        <v>45.138888888888857</v>
      </c>
      <c r="AK26" s="54"/>
    </row>
    <row r="27" spans="1:37" ht="12.75" customHeight="1">
      <c r="A27" s="48">
        <v>41248</v>
      </c>
      <c r="B27" s="45" t="s">
        <v>309</v>
      </c>
      <c r="C27" s="46" t="s">
        <v>307</v>
      </c>
      <c r="D27" s="51"/>
      <c r="E27" s="47">
        <f>4000/1.12</f>
        <v>3571.4285714285711</v>
      </c>
      <c r="F27" s="47">
        <f t="shared" si="8"/>
        <v>3571.4285714285711</v>
      </c>
      <c r="G27" s="47">
        <f t="shared" si="12"/>
        <v>3571.4285714285711</v>
      </c>
      <c r="H27" s="54">
        <f t="shared" si="9"/>
        <v>99.206349206349202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>
        <v>99.206349206349202</v>
      </c>
      <c r="U27" s="54">
        <f t="shared" si="10"/>
        <v>99.206349206349202</v>
      </c>
      <c r="V27" s="54">
        <v>992.06349206349228</v>
      </c>
      <c r="W27" s="54">
        <f t="shared" si="14"/>
        <v>59.523809523809518</v>
      </c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>
        <f t="shared" si="13"/>
        <v>59.523809523809518</v>
      </c>
      <c r="AJ27" s="54">
        <f t="shared" si="11"/>
        <v>932.53968253968276</v>
      </c>
      <c r="AK27" s="54"/>
    </row>
    <row r="28" spans="1:37" ht="12.75" customHeight="1">
      <c r="A28" s="48">
        <v>41248</v>
      </c>
      <c r="B28" s="45" t="s">
        <v>309</v>
      </c>
      <c r="C28" s="46" t="s">
        <v>308</v>
      </c>
      <c r="D28" s="51"/>
      <c r="E28" s="47">
        <f>10978/1.12</f>
        <v>9801.7857142857138</v>
      </c>
      <c r="F28" s="47">
        <f t="shared" si="8"/>
        <v>9801.7857142857138</v>
      </c>
      <c r="G28" s="47">
        <f t="shared" si="12"/>
        <v>9801.7857142857138</v>
      </c>
      <c r="H28" s="54">
        <f t="shared" si="9"/>
        <v>272.27182539682536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>
        <v>272.27182539682536</v>
      </c>
      <c r="U28" s="54">
        <f t="shared" si="10"/>
        <v>272.27182539682536</v>
      </c>
      <c r="V28" s="54">
        <v>2722.718253968254</v>
      </c>
      <c r="W28" s="54">
        <f t="shared" si="14"/>
        <v>163.36309523809524</v>
      </c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>
        <f t="shared" si="13"/>
        <v>163.36309523809524</v>
      </c>
      <c r="AJ28" s="54">
        <f t="shared" si="11"/>
        <v>2559.3551587301586</v>
      </c>
      <c r="AK28" s="54"/>
    </row>
    <row r="29" spans="1:37" ht="12.75" customHeight="1">
      <c r="A29" s="48">
        <v>41386</v>
      </c>
      <c r="B29" s="53" t="s">
        <v>363</v>
      </c>
      <c r="C29" s="46" t="s">
        <v>364</v>
      </c>
      <c r="D29" s="51"/>
      <c r="E29" s="47">
        <v>7321.4285714285706</v>
      </c>
      <c r="G29" s="47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>
        <v>3253.9682539682531</v>
      </c>
      <c r="W29" s="54">
        <f t="shared" si="14"/>
        <v>122.0238095238095</v>
      </c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>
        <f t="shared" si="13"/>
        <v>122.0238095238095</v>
      </c>
      <c r="AJ29" s="54">
        <f t="shared" si="11"/>
        <v>3131.9444444444434</v>
      </c>
      <c r="AK29" s="54"/>
    </row>
    <row r="30" spans="1:37" ht="12.75" customHeight="1">
      <c r="A30" s="48">
        <v>41522</v>
      </c>
      <c r="B30" s="53">
        <v>372</v>
      </c>
      <c r="C30" s="46" t="s">
        <v>382</v>
      </c>
      <c r="D30" s="51"/>
      <c r="E30" s="47">
        <v>8800</v>
      </c>
      <c r="G30" s="47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>
        <v>4365.1400000000003</v>
      </c>
      <c r="W30" s="54">
        <f t="shared" si="14"/>
        <v>146.66666666666666</v>
      </c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>
        <f t="shared" si="13"/>
        <v>146.66666666666666</v>
      </c>
      <c r="AJ30" s="54">
        <f t="shared" si="11"/>
        <v>4218.4733333333334</v>
      </c>
      <c r="AK30" s="54"/>
    </row>
    <row r="31" spans="1:37" ht="12.75" customHeight="1">
      <c r="A31" s="48">
        <v>41624</v>
      </c>
      <c r="B31" s="53"/>
      <c r="C31" s="46" t="s">
        <v>386</v>
      </c>
      <c r="D31" s="51"/>
      <c r="E31" s="47">
        <v>4300</v>
      </c>
      <c r="G31" s="47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>
        <v>2559.4899999999998</v>
      </c>
      <c r="W31" s="54">
        <f t="shared" si="14"/>
        <v>71.666666666666671</v>
      </c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>
        <f t="shared" si="13"/>
        <v>71.666666666666671</v>
      </c>
      <c r="AJ31" s="54">
        <f t="shared" si="11"/>
        <v>2487.8233333333333</v>
      </c>
      <c r="AK31" s="54"/>
    </row>
    <row r="32" spans="1:37" ht="12.75" customHeight="1">
      <c r="A32" s="48">
        <v>41788</v>
      </c>
      <c r="B32" s="53">
        <v>657</v>
      </c>
      <c r="C32" s="46" t="s">
        <v>404</v>
      </c>
      <c r="D32" s="51"/>
      <c r="E32" s="47">
        <v>13600</v>
      </c>
      <c r="G32" s="47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>
        <v>10955.54</v>
      </c>
      <c r="W32" s="54">
        <f t="shared" si="14"/>
        <v>226.66666666666666</v>
      </c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>
        <f t="shared" si="13"/>
        <v>226.66666666666666</v>
      </c>
      <c r="AJ32" s="54">
        <f t="shared" si="11"/>
        <v>10728.873333333335</v>
      </c>
      <c r="AK32" s="54"/>
    </row>
    <row r="33" spans="1:37" ht="12.75" customHeight="1">
      <c r="A33" s="48">
        <v>41829</v>
      </c>
      <c r="B33" s="45" t="s">
        <v>439</v>
      </c>
      <c r="C33" s="46" t="s">
        <v>440</v>
      </c>
      <c r="D33" s="51"/>
      <c r="E33" s="47">
        <v>10962.5</v>
      </c>
      <c r="G33" s="47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>
        <v>9135.44</v>
      </c>
      <c r="W33" s="54">
        <f t="shared" si="14"/>
        <v>182.70833333333334</v>
      </c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>
        <f t="shared" si="13"/>
        <v>182.70833333333334</v>
      </c>
      <c r="AJ33" s="54">
        <f t="shared" si="11"/>
        <v>8952.7316666666666</v>
      </c>
      <c r="AK33" s="54"/>
    </row>
    <row r="34" spans="1:37" ht="12.75" customHeight="1">
      <c r="A34" s="48">
        <v>41865</v>
      </c>
      <c r="B34" s="45" t="s">
        <v>441</v>
      </c>
      <c r="C34" s="46" t="s">
        <v>442</v>
      </c>
      <c r="D34" s="51"/>
      <c r="E34" s="47">
        <v>255</v>
      </c>
      <c r="G34" s="47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>
        <v>219.58333333335</v>
      </c>
      <c r="W34" s="54">
        <f t="shared" si="14"/>
        <v>4.25</v>
      </c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>
        <f t="shared" si="13"/>
        <v>4.25</v>
      </c>
      <c r="AJ34" s="54">
        <f t="shared" si="11"/>
        <v>215.33333333335</v>
      </c>
      <c r="AK34" s="54"/>
    </row>
    <row r="35" spans="1:37" s="49" customFormat="1" ht="12.75" customHeight="1">
      <c r="A35" s="48">
        <v>41885</v>
      </c>
      <c r="B35" s="45" t="s">
        <v>443</v>
      </c>
      <c r="C35" s="46" t="s">
        <v>444</v>
      </c>
      <c r="D35" s="51"/>
      <c r="E35" s="47">
        <v>4687.5</v>
      </c>
      <c r="F35" s="47"/>
      <c r="G35" s="47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>
        <v>4166.66</v>
      </c>
      <c r="W35" s="54">
        <f t="shared" si="14"/>
        <v>78.125</v>
      </c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>
        <f>SUM(W35:AH35)</f>
        <v>78.125</v>
      </c>
      <c r="AJ35" s="54">
        <f>V35-AI35</f>
        <v>4088.5349999999999</v>
      </c>
      <c r="AK35" s="54"/>
    </row>
    <row r="36" spans="1:37" ht="12.75" customHeight="1">
      <c r="A36" s="48">
        <v>41897</v>
      </c>
      <c r="B36" s="45" t="s">
        <v>445</v>
      </c>
      <c r="C36" s="46" t="s">
        <v>444</v>
      </c>
      <c r="D36" s="51"/>
      <c r="E36" s="47">
        <v>5821.43</v>
      </c>
      <c r="G36" s="47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>
        <v>5174.59</v>
      </c>
      <c r="W36" s="54">
        <f t="shared" si="14"/>
        <v>97.023833333333343</v>
      </c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>
        <f>SUM(W36:AH36)</f>
        <v>97.023833333333343</v>
      </c>
      <c r="AJ36" s="54">
        <f>V36-AI36</f>
        <v>5077.5661666666665</v>
      </c>
      <c r="AK36" s="54"/>
    </row>
    <row r="37" spans="1:37" ht="12.75" hidden="1" customHeight="1">
      <c r="D37" s="51"/>
      <c r="E37" s="47"/>
      <c r="G37" s="47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>
        <v>0</v>
      </c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>
        <f>SUM(W37:AH37)</f>
        <v>0</v>
      </c>
      <c r="AJ37" s="54">
        <f>V37-AI37</f>
        <v>0</v>
      </c>
      <c r="AK37" s="54"/>
    </row>
    <row r="38" spans="1:37" ht="12.75" hidden="1" customHeight="1">
      <c r="B38" s="53"/>
      <c r="D38" s="51"/>
      <c r="E38" s="47">
        <v>-1403.57</v>
      </c>
      <c r="G38" s="47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>
        <v>0</v>
      </c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>
        <f t="shared" si="13"/>
        <v>0</v>
      </c>
      <c r="AJ38" s="54">
        <f t="shared" si="11"/>
        <v>0</v>
      </c>
      <c r="AK38" s="54"/>
    </row>
    <row r="39" spans="1:37" ht="12.75" customHeight="1">
      <c r="A39" s="44"/>
      <c r="B39" s="237" t="s">
        <v>225</v>
      </c>
      <c r="C39" s="49"/>
      <c r="D39" s="49"/>
      <c r="E39" s="241">
        <f>SUM(E22:E38)</f>
        <v>75517.149999999994</v>
      </c>
      <c r="F39" s="241">
        <f t="shared" ref="F39:Z39" si="15">SUM(F22:F38)</f>
        <v>21172.861428571428</v>
      </c>
      <c r="G39" s="241">
        <f t="shared" si="15"/>
        <v>21172.861428571428</v>
      </c>
      <c r="H39" s="241">
        <f t="shared" si="15"/>
        <v>588.13503968253963</v>
      </c>
      <c r="I39" s="241">
        <f t="shared" si="15"/>
        <v>0</v>
      </c>
      <c r="J39" s="241">
        <f t="shared" si="15"/>
        <v>0</v>
      </c>
      <c r="K39" s="241">
        <f t="shared" si="15"/>
        <v>0</v>
      </c>
      <c r="L39" s="241">
        <f t="shared" si="15"/>
        <v>0</v>
      </c>
      <c r="M39" s="241">
        <f t="shared" si="15"/>
        <v>0</v>
      </c>
      <c r="N39" s="241">
        <f t="shared" si="15"/>
        <v>0</v>
      </c>
      <c r="O39" s="241">
        <f t="shared" si="15"/>
        <v>0</v>
      </c>
      <c r="P39" s="241">
        <f t="shared" si="15"/>
        <v>82.777777777777771</v>
      </c>
      <c r="Q39" s="241">
        <f t="shared" si="15"/>
        <v>119.98027777777777</v>
      </c>
      <c r="R39" s="241">
        <f t="shared" si="15"/>
        <v>133.74515873015872</v>
      </c>
      <c r="S39" s="241">
        <f t="shared" si="15"/>
        <v>212.3165873015873</v>
      </c>
      <c r="T39" s="241">
        <f t="shared" si="15"/>
        <v>588.13503968253963</v>
      </c>
      <c r="U39" s="241">
        <f t="shared" si="15"/>
        <v>1136.9548412698412</v>
      </c>
      <c r="V39" s="241">
        <v>45379.599047619064</v>
      </c>
      <c r="W39" s="241">
        <f>SUM(W22:W38)</f>
        <v>1282.0119999999999</v>
      </c>
      <c r="X39" s="241">
        <f t="shared" si="15"/>
        <v>0</v>
      </c>
      <c r="Y39" s="241">
        <f t="shared" si="15"/>
        <v>0</v>
      </c>
      <c r="Z39" s="241">
        <f t="shared" si="15"/>
        <v>0</v>
      </c>
      <c r="AA39" s="241">
        <f>SUM(AA22:AA38)</f>
        <v>0</v>
      </c>
      <c r="AB39" s="241">
        <f>SUM(AB22:AB38)</f>
        <v>0</v>
      </c>
      <c r="AC39" s="241">
        <f t="shared" ref="AC39:AH39" si="16">SUM(AC22:AC38)</f>
        <v>0</v>
      </c>
      <c r="AD39" s="241">
        <f t="shared" si="16"/>
        <v>0</v>
      </c>
      <c r="AE39" s="241">
        <f>SUM(AE22:AE38)</f>
        <v>0</v>
      </c>
      <c r="AF39" s="241">
        <f t="shared" si="16"/>
        <v>0</v>
      </c>
      <c r="AG39" s="241">
        <f t="shared" si="16"/>
        <v>0</v>
      </c>
      <c r="AH39" s="241">
        <f t="shared" si="16"/>
        <v>0</v>
      </c>
      <c r="AI39" s="241">
        <f>SUM(AI22:AI38)</f>
        <v>1282.0119999999999</v>
      </c>
      <c r="AJ39" s="241">
        <f>SUM(AJ22:AJ38)</f>
        <v>44097.587047619054</v>
      </c>
      <c r="AK39" s="55">
        <f>AI39+AJ39</f>
        <v>45379.599047619056</v>
      </c>
    </row>
    <row r="40" spans="1:37" ht="12" customHeight="1">
      <c r="E40" s="242"/>
      <c r="F40" s="243"/>
      <c r="G40" s="243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54"/>
    </row>
    <row r="41" spans="1:37" ht="12" customHeight="1">
      <c r="E41" s="242"/>
      <c r="F41" s="243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54"/>
    </row>
    <row r="42" spans="1:37" ht="12" customHeight="1">
      <c r="A42" s="44" t="s">
        <v>379</v>
      </c>
      <c r="E42" s="56"/>
      <c r="F42" s="243"/>
      <c r="G42" s="244"/>
      <c r="H42" s="244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4"/>
    </row>
    <row r="43" spans="1:37" ht="12" customHeight="1">
      <c r="E43" s="54"/>
      <c r="F43" s="52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</row>
    <row r="44" spans="1:37" ht="12" customHeight="1">
      <c r="A44" s="48">
        <v>41079</v>
      </c>
      <c r="B44" s="246" t="s">
        <v>239</v>
      </c>
      <c r="C44" s="247" t="s">
        <v>240</v>
      </c>
      <c r="D44" s="248"/>
      <c r="E44" s="47">
        <v>165000</v>
      </c>
      <c r="F44" s="47">
        <f t="shared" ref="F44:F50" si="17">E44</f>
        <v>165000</v>
      </c>
      <c r="G44" s="47">
        <f t="shared" ref="G44:G49" si="18">E44</f>
        <v>165000</v>
      </c>
      <c r="H44" s="54">
        <f t="shared" ref="H44:H49" si="19">E44/36</f>
        <v>4583.333333333333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4583.33</v>
      </c>
      <c r="P44" s="54">
        <v>4583.33</v>
      </c>
      <c r="Q44" s="54">
        <v>4583.33</v>
      </c>
      <c r="R44" s="54">
        <v>4583.33</v>
      </c>
      <c r="S44" s="54">
        <v>4583.33</v>
      </c>
      <c r="T44" s="54">
        <v>4583.33</v>
      </c>
      <c r="U44" s="54">
        <f t="shared" ref="U44:U49" si="20">SUM(I44:T44)</f>
        <v>27499.980000000003</v>
      </c>
      <c r="V44" s="54">
        <v>27500.02</v>
      </c>
      <c r="W44" s="54">
        <f>E44/60</f>
        <v>2750</v>
      </c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>
        <f>SUM(W44:AH44)</f>
        <v>2750</v>
      </c>
      <c r="AJ44" s="54">
        <f t="shared" ref="AJ44:AJ53" si="21">V44-AI44</f>
        <v>24750.02</v>
      </c>
      <c r="AK44" s="54"/>
    </row>
    <row r="45" spans="1:37" ht="12" customHeight="1">
      <c r="A45" s="48">
        <v>41075</v>
      </c>
      <c r="B45" s="246" t="s">
        <v>241</v>
      </c>
      <c r="C45" s="247" t="s">
        <v>242</v>
      </c>
      <c r="D45" s="248"/>
      <c r="E45" s="47">
        <f>40010/1.12</f>
        <v>35723.214285714283</v>
      </c>
      <c r="F45" s="47">
        <f t="shared" si="17"/>
        <v>35723.214285714283</v>
      </c>
      <c r="G45" s="47">
        <f t="shared" si="18"/>
        <v>35723.214285714283</v>
      </c>
      <c r="H45" s="54">
        <f t="shared" si="19"/>
        <v>992.31150793650784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992.31150793650784</v>
      </c>
      <c r="O45" s="54">
        <v>992.31150793650784</v>
      </c>
      <c r="P45" s="54">
        <v>992.31150793650784</v>
      </c>
      <c r="Q45" s="54">
        <v>992.31150793650784</v>
      </c>
      <c r="R45" s="54">
        <v>992.31150793650784</v>
      </c>
      <c r="S45" s="54">
        <v>992.31150793650784</v>
      </c>
      <c r="T45" s="54">
        <v>992.31150793650784</v>
      </c>
      <c r="U45" s="54">
        <f t="shared" si="20"/>
        <v>6946.1805555555547</v>
      </c>
      <c r="V45" s="54">
        <v>4961.5575396825443</v>
      </c>
      <c r="W45" s="54">
        <f t="shared" ref="W45:W52" si="22">E45/60</f>
        <v>595.3869047619047</v>
      </c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>
        <f t="shared" ref="AI45:AI50" si="23">SUM(W45:AH45)</f>
        <v>595.3869047619047</v>
      </c>
      <c r="AJ45" s="54">
        <f t="shared" si="21"/>
        <v>4366.1706349206397</v>
      </c>
      <c r="AK45" s="54"/>
    </row>
    <row r="46" spans="1:37" ht="12" customHeight="1">
      <c r="A46" s="48">
        <v>41090</v>
      </c>
      <c r="B46" s="246" t="s">
        <v>243</v>
      </c>
      <c r="C46" s="247" t="s">
        <v>244</v>
      </c>
      <c r="D46" s="248"/>
      <c r="E46" s="47">
        <f>5535+6702+4877.5+6380</f>
        <v>23494.5</v>
      </c>
      <c r="F46" s="47">
        <f t="shared" si="17"/>
        <v>23494.5</v>
      </c>
      <c r="G46" s="47">
        <f t="shared" si="18"/>
        <v>23494.5</v>
      </c>
      <c r="H46" s="54">
        <f t="shared" si="19"/>
        <v>652.625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652.63</v>
      </c>
      <c r="P46" s="54">
        <v>652.63</v>
      </c>
      <c r="Q46" s="54">
        <v>652.63</v>
      </c>
      <c r="R46" s="54">
        <v>652.63</v>
      </c>
      <c r="S46" s="54">
        <v>652.63</v>
      </c>
      <c r="T46" s="54">
        <v>652.63</v>
      </c>
      <c r="U46" s="54">
        <f t="shared" si="20"/>
        <v>3915.78</v>
      </c>
      <c r="V46" s="54">
        <v>3915.72</v>
      </c>
      <c r="W46" s="54">
        <f t="shared" si="22"/>
        <v>391.57499999999999</v>
      </c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>
        <f t="shared" si="23"/>
        <v>391.57499999999999</v>
      </c>
      <c r="AJ46" s="54">
        <f t="shared" si="21"/>
        <v>3524.145</v>
      </c>
      <c r="AK46" s="54"/>
    </row>
    <row r="47" spans="1:37" ht="12" customHeight="1">
      <c r="A47" s="48">
        <v>41106</v>
      </c>
      <c r="B47" s="246" t="s">
        <v>245</v>
      </c>
      <c r="C47" s="247" t="s">
        <v>246</v>
      </c>
      <c r="D47" s="248"/>
      <c r="E47" s="47">
        <f>6010+6945+7850</f>
        <v>20805</v>
      </c>
      <c r="F47" s="47">
        <f t="shared" si="17"/>
        <v>20805</v>
      </c>
      <c r="G47" s="47">
        <f t="shared" si="18"/>
        <v>20805</v>
      </c>
      <c r="H47" s="54">
        <f t="shared" si="19"/>
        <v>577.91666666666663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577.91666666666663</v>
      </c>
      <c r="Q47" s="54">
        <v>577.91666666666663</v>
      </c>
      <c r="R47" s="54">
        <v>577.91666666666663</v>
      </c>
      <c r="S47" s="54">
        <v>577.91666666666663</v>
      </c>
      <c r="T47" s="54">
        <v>577.91666666666663</v>
      </c>
      <c r="U47" s="54">
        <f t="shared" si="20"/>
        <v>2889.583333333333</v>
      </c>
      <c r="V47" s="54">
        <v>4045.416666666667</v>
      </c>
      <c r="W47" s="54">
        <f t="shared" si="22"/>
        <v>346.75</v>
      </c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>
        <f t="shared" si="23"/>
        <v>346.75</v>
      </c>
      <c r="AJ47" s="54">
        <f t="shared" si="21"/>
        <v>3698.666666666667</v>
      </c>
      <c r="AK47" s="54"/>
    </row>
    <row r="48" spans="1:37" ht="12" customHeight="1">
      <c r="A48" s="48">
        <v>41124</v>
      </c>
      <c r="B48" s="246" t="s">
        <v>247</v>
      </c>
      <c r="C48" s="46" t="s">
        <v>248</v>
      </c>
      <c r="E48" s="54">
        <f>11059.85+1025</f>
        <v>12084.85</v>
      </c>
      <c r="F48" s="47">
        <f t="shared" si="17"/>
        <v>12084.85</v>
      </c>
      <c r="G48" s="47">
        <f t="shared" si="18"/>
        <v>12084.85</v>
      </c>
      <c r="H48" s="54">
        <f t="shared" si="19"/>
        <v>335.69027777777779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335.69027777777779</v>
      </c>
      <c r="Q48" s="54">
        <v>335.69027777777779</v>
      </c>
      <c r="R48" s="54">
        <v>335.69027777777779</v>
      </c>
      <c r="S48" s="54">
        <v>335.69027777777779</v>
      </c>
      <c r="T48" s="54">
        <v>335.69027777777779</v>
      </c>
      <c r="U48" s="54">
        <f t="shared" si="20"/>
        <v>1678.4513888888889</v>
      </c>
      <c r="V48" s="54">
        <v>2349.8319444444455</v>
      </c>
      <c r="W48" s="54">
        <f t="shared" si="22"/>
        <v>201.41416666666666</v>
      </c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>
        <f t="shared" si="23"/>
        <v>201.41416666666666</v>
      </c>
      <c r="AJ48" s="54">
        <f t="shared" si="21"/>
        <v>2148.4177777777791</v>
      </c>
      <c r="AK48" s="54"/>
    </row>
    <row r="49" spans="1:37" ht="12" customHeight="1">
      <c r="A49" s="48">
        <v>41180</v>
      </c>
      <c r="B49" s="246">
        <v>99</v>
      </c>
      <c r="E49" s="54">
        <f>5102/1.12</f>
        <v>4555.3571428571422</v>
      </c>
      <c r="F49" s="47">
        <f t="shared" si="17"/>
        <v>4555.3571428571422</v>
      </c>
      <c r="G49" s="47">
        <f t="shared" si="18"/>
        <v>4555.3571428571422</v>
      </c>
      <c r="H49" s="54">
        <f t="shared" si="19"/>
        <v>126.53769841269839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f>H49*2</f>
        <v>253.07539682539678</v>
      </c>
      <c r="T49" s="54">
        <v>126.53769841269839</v>
      </c>
      <c r="U49" s="54">
        <f t="shared" si="20"/>
        <v>379.61309523809518</v>
      </c>
      <c r="V49" s="54">
        <v>1138.8392857142856</v>
      </c>
      <c r="W49" s="54">
        <f>E49/60</f>
        <v>75.922619047619037</v>
      </c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>
        <f t="shared" si="23"/>
        <v>75.922619047619037</v>
      </c>
      <c r="AJ49" s="54">
        <f t="shared" si="21"/>
        <v>1062.9166666666665</v>
      </c>
      <c r="AK49" s="54"/>
    </row>
    <row r="50" spans="1:37" s="49" customFormat="1" ht="12.75" customHeight="1">
      <c r="A50" s="48">
        <v>41213</v>
      </c>
      <c r="B50" s="246" t="s">
        <v>252</v>
      </c>
      <c r="C50" s="46" t="s">
        <v>248</v>
      </c>
      <c r="D50" s="46"/>
      <c r="E50" s="54">
        <v>4530</v>
      </c>
      <c r="F50" s="47">
        <f t="shared" si="17"/>
        <v>4530</v>
      </c>
      <c r="G50" s="47">
        <f>E50</f>
        <v>4530</v>
      </c>
      <c r="H50" s="54">
        <f>E50/36</f>
        <v>125.83333333333333</v>
      </c>
      <c r="I50" s="54"/>
      <c r="J50" s="54"/>
      <c r="K50" s="54"/>
      <c r="L50" s="54"/>
      <c r="M50" s="54"/>
      <c r="N50" s="54"/>
      <c r="O50" s="54"/>
      <c r="P50" s="54"/>
      <c r="Q50" s="54"/>
      <c r="R50" s="54">
        <f>H50</f>
        <v>125.83333333333333</v>
      </c>
      <c r="S50" s="54">
        <v>125.83333333333333</v>
      </c>
      <c r="T50" s="54">
        <v>125.83333333333333</v>
      </c>
      <c r="U50" s="54">
        <f>SUM(I50:T50)</f>
        <v>377.5</v>
      </c>
      <c r="V50" s="54">
        <v>1132.5</v>
      </c>
      <c r="W50" s="54">
        <f t="shared" si="22"/>
        <v>75.5</v>
      </c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>
        <f t="shared" si="23"/>
        <v>75.5</v>
      </c>
      <c r="AJ50" s="54">
        <f t="shared" si="21"/>
        <v>1057</v>
      </c>
      <c r="AK50" s="54"/>
    </row>
    <row r="51" spans="1:37" ht="12.75" customHeight="1">
      <c r="A51" s="48">
        <v>41471</v>
      </c>
      <c r="B51" s="246">
        <v>336</v>
      </c>
      <c r="C51" s="46" t="s">
        <v>248</v>
      </c>
      <c r="E51" s="54">
        <v>37488</v>
      </c>
      <c r="F51" s="54"/>
      <c r="G51" s="54"/>
      <c r="H51" s="54">
        <v>33471.428571428565</v>
      </c>
      <c r="I51" s="54">
        <v>33471.428571428565</v>
      </c>
      <c r="J51" s="54">
        <v>33471.428571428565</v>
      </c>
      <c r="K51" s="54">
        <v>33471.428571428565</v>
      </c>
      <c r="L51" s="54">
        <v>33471.428571428565</v>
      </c>
      <c r="M51" s="54">
        <v>33471.428571428565</v>
      </c>
      <c r="N51" s="54">
        <v>33471.428571428565</v>
      </c>
      <c r="O51" s="54">
        <v>33471.428571428565</v>
      </c>
      <c r="P51" s="54">
        <v>33471.428571428565</v>
      </c>
      <c r="Q51" s="54">
        <v>33471.428571428565</v>
      </c>
      <c r="R51" s="54">
        <v>33471.428571428565</v>
      </c>
      <c r="S51" s="54">
        <v>33471.428571428565</v>
      </c>
      <c r="T51" s="54">
        <v>33471.428571428565</v>
      </c>
      <c r="U51" s="54">
        <v>33417.43</v>
      </c>
      <c r="V51" s="54">
        <v>17665.508571428567</v>
      </c>
      <c r="W51" s="54">
        <f t="shared" si="22"/>
        <v>624.79999999999995</v>
      </c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>
        <f>SUM(W51:AH51)</f>
        <v>624.79999999999995</v>
      </c>
      <c r="AJ51" s="54">
        <f t="shared" si="21"/>
        <v>17040.708571428568</v>
      </c>
      <c r="AK51" s="54"/>
    </row>
    <row r="52" spans="1:37" s="49" customFormat="1" ht="12.75" customHeight="1">
      <c r="A52" s="48">
        <v>41471</v>
      </c>
      <c r="B52" s="246">
        <v>337</v>
      </c>
      <c r="C52" s="46" t="s">
        <v>248</v>
      </c>
      <c r="D52" s="46"/>
      <c r="E52" s="54">
        <v>25929.86</v>
      </c>
      <c r="F52" s="54"/>
      <c r="G52" s="54"/>
      <c r="H52" s="54">
        <v>29946.428571428569</v>
      </c>
      <c r="I52" s="54">
        <v>29946.428571428569</v>
      </c>
      <c r="J52" s="54">
        <v>29946.428571428569</v>
      </c>
      <c r="K52" s="54">
        <v>29946.428571428569</v>
      </c>
      <c r="L52" s="54">
        <v>29946.428571428569</v>
      </c>
      <c r="M52" s="54">
        <v>29946.428571428569</v>
      </c>
      <c r="N52" s="54">
        <v>29946.428571428569</v>
      </c>
      <c r="O52" s="54">
        <v>29946.428571428569</v>
      </c>
      <c r="P52" s="54">
        <v>29946.428571428569</v>
      </c>
      <c r="Q52" s="54">
        <v>29946.428571428569</v>
      </c>
      <c r="R52" s="54">
        <v>29946.428571428569</v>
      </c>
      <c r="S52" s="54">
        <v>29946.428571428569</v>
      </c>
      <c r="T52" s="54">
        <v>29946.428571428569</v>
      </c>
      <c r="U52" s="54">
        <v>29946.43</v>
      </c>
      <c r="V52" s="54">
        <v>15804.978571428566</v>
      </c>
      <c r="W52" s="54">
        <f t="shared" si="22"/>
        <v>432.16433333333333</v>
      </c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>
        <f>SUM(W52:AH52)</f>
        <v>432.16433333333333</v>
      </c>
      <c r="AJ52" s="54">
        <f t="shared" si="21"/>
        <v>15372.814238095232</v>
      </c>
      <c r="AK52" s="54"/>
    </row>
    <row r="53" spans="1:37" ht="12.75" hidden="1" customHeight="1">
      <c r="B53" s="246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>
        <v>-636.15</v>
      </c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>
        <f>SUM(W53:AH53)</f>
        <v>0</v>
      </c>
      <c r="AJ53" s="54">
        <f t="shared" si="21"/>
        <v>-636.15</v>
      </c>
      <c r="AK53" s="54"/>
    </row>
    <row r="54" spans="1:37" ht="12.75" customHeight="1">
      <c r="A54" s="44"/>
      <c r="B54" s="237" t="s">
        <v>249</v>
      </c>
      <c r="C54" s="49"/>
      <c r="D54" s="49"/>
      <c r="E54" s="241">
        <f>SUM(E43:E53)</f>
        <v>329610.78142857144</v>
      </c>
      <c r="F54" s="241">
        <f t="shared" ref="F54:U54" si="24">SUM(F43:F52)</f>
        <v>266192.92142857146</v>
      </c>
      <c r="G54" s="241">
        <f t="shared" si="24"/>
        <v>266192.92142857146</v>
      </c>
      <c r="H54" s="241">
        <f t="shared" si="24"/>
        <v>70812.104960317447</v>
      </c>
      <c r="I54" s="241">
        <f t="shared" si="24"/>
        <v>63417.85714285713</v>
      </c>
      <c r="J54" s="241">
        <f t="shared" si="24"/>
        <v>63417.85714285713</v>
      </c>
      <c r="K54" s="241">
        <f t="shared" si="24"/>
        <v>63417.85714285713</v>
      </c>
      <c r="L54" s="241">
        <f t="shared" si="24"/>
        <v>63417.85714285713</v>
      </c>
      <c r="M54" s="241">
        <f t="shared" si="24"/>
        <v>63417.85714285713</v>
      </c>
      <c r="N54" s="241">
        <f t="shared" si="24"/>
        <v>64410.168650793639</v>
      </c>
      <c r="O54" s="241">
        <f t="shared" si="24"/>
        <v>69646.128650793646</v>
      </c>
      <c r="P54" s="241">
        <f t="shared" si="24"/>
        <v>70559.735595238089</v>
      </c>
      <c r="Q54" s="241">
        <f t="shared" si="24"/>
        <v>70559.735595238089</v>
      </c>
      <c r="R54" s="241">
        <f t="shared" si="24"/>
        <v>70685.568928571418</v>
      </c>
      <c r="S54" s="241">
        <f t="shared" si="24"/>
        <v>70938.644325396817</v>
      </c>
      <c r="T54" s="241">
        <f t="shared" si="24"/>
        <v>70812.106626984125</v>
      </c>
      <c r="U54" s="241">
        <f t="shared" si="24"/>
        <v>107050.94837301588</v>
      </c>
      <c r="V54" s="241">
        <v>77878.222579365072</v>
      </c>
      <c r="W54" s="241">
        <f t="shared" ref="W54:AI54" si="25">SUM(W43:W53)</f>
        <v>5493.5130238095235</v>
      </c>
      <c r="X54" s="241">
        <f t="shared" si="25"/>
        <v>0</v>
      </c>
      <c r="Y54" s="241">
        <f t="shared" si="25"/>
        <v>0</v>
      </c>
      <c r="Z54" s="241">
        <f t="shared" si="25"/>
        <v>0</v>
      </c>
      <c r="AA54" s="241">
        <f t="shared" si="25"/>
        <v>0</v>
      </c>
      <c r="AB54" s="241">
        <f t="shared" si="25"/>
        <v>0</v>
      </c>
      <c r="AC54" s="241">
        <f t="shared" si="25"/>
        <v>0</v>
      </c>
      <c r="AD54" s="241">
        <f t="shared" si="25"/>
        <v>0</v>
      </c>
      <c r="AE54" s="241">
        <f t="shared" si="25"/>
        <v>0</v>
      </c>
      <c r="AF54" s="241">
        <f t="shared" si="25"/>
        <v>0</v>
      </c>
      <c r="AG54" s="241">
        <f t="shared" si="25"/>
        <v>0</v>
      </c>
      <c r="AH54" s="241">
        <f t="shared" si="25"/>
        <v>0</v>
      </c>
      <c r="AI54" s="241">
        <f t="shared" si="25"/>
        <v>5493.5130238095235</v>
      </c>
      <c r="AJ54" s="241">
        <f>SUM(AJ43:AJ53)</f>
        <v>72384.709555555557</v>
      </c>
      <c r="AK54" s="55">
        <f>AJ54+AI54</f>
        <v>77878.222579365087</v>
      </c>
    </row>
    <row r="55" spans="1:37" ht="12.75" customHeight="1">
      <c r="E55" s="54"/>
      <c r="F55" s="243"/>
      <c r="G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</row>
    <row r="56" spans="1:37" ht="12.75" customHeight="1" thickBot="1">
      <c r="A56" s="44"/>
      <c r="B56" s="237" t="s">
        <v>250</v>
      </c>
      <c r="C56" s="49"/>
      <c r="D56" s="49"/>
      <c r="E56" s="249">
        <f>E54+E39+E19</f>
        <v>807908.23499999999</v>
      </c>
      <c r="F56" s="249">
        <f t="shared" ref="F56:AH56" si="26">F54+F39+F19</f>
        <v>690146.08642857138</v>
      </c>
      <c r="G56" s="249">
        <f t="shared" si="26"/>
        <v>690146.08642857138</v>
      </c>
      <c r="H56" s="249">
        <f t="shared" si="26"/>
        <v>82588.581765873008</v>
      </c>
      <c r="I56" s="249">
        <f t="shared" si="26"/>
        <v>63417.85714285713</v>
      </c>
      <c r="J56" s="249">
        <f t="shared" si="26"/>
        <v>63417.85714285713</v>
      </c>
      <c r="K56" s="249">
        <f t="shared" si="26"/>
        <v>63417.85714285713</v>
      </c>
      <c r="L56" s="249">
        <f t="shared" si="26"/>
        <v>63417.85714285713</v>
      </c>
      <c r="M56" s="249">
        <f t="shared" si="26"/>
        <v>63417.85714285713</v>
      </c>
      <c r="N56" s="249">
        <f t="shared" si="26"/>
        <v>64410.168650793639</v>
      </c>
      <c r="O56" s="249">
        <f t="shared" si="26"/>
        <v>70303.370714285702</v>
      </c>
      <c r="P56" s="249">
        <f t="shared" si="26"/>
        <v>80206.355337301589</v>
      </c>
      <c r="Q56" s="249">
        <f t="shared" si="26"/>
        <v>80523.815773809518</v>
      </c>
      <c r="R56" s="249">
        <f t="shared" si="26"/>
        <v>81061.479464285701</v>
      </c>
      <c r="S56" s="249">
        <f t="shared" si="26"/>
        <v>81393.126289682521</v>
      </c>
      <c r="T56" s="249">
        <f t="shared" si="26"/>
        <v>82262.446726190479</v>
      </c>
      <c r="U56" s="249">
        <f t="shared" si="26"/>
        <v>159599.62295634922</v>
      </c>
      <c r="V56" s="249">
        <v>206742.37236111105</v>
      </c>
      <c r="W56" s="249">
        <f>W54+W39+W19</f>
        <v>13488.530083333331</v>
      </c>
      <c r="X56" s="249">
        <f>X54+X39+X19</f>
        <v>0</v>
      </c>
      <c r="Y56" s="249">
        <f t="shared" si="26"/>
        <v>0</v>
      </c>
      <c r="Z56" s="249">
        <f t="shared" si="26"/>
        <v>0</v>
      </c>
      <c r="AA56" s="249">
        <f t="shared" si="26"/>
        <v>0</v>
      </c>
      <c r="AB56" s="249">
        <f>AB54+AB39+AB19</f>
        <v>0</v>
      </c>
      <c r="AC56" s="249">
        <f t="shared" si="26"/>
        <v>0</v>
      </c>
      <c r="AD56" s="249">
        <f>AD54+AD39+AD19</f>
        <v>0</v>
      </c>
      <c r="AE56" s="249">
        <f t="shared" si="26"/>
        <v>0</v>
      </c>
      <c r="AF56" s="249">
        <f t="shared" si="26"/>
        <v>0</v>
      </c>
      <c r="AG56" s="249">
        <f t="shared" si="26"/>
        <v>0</v>
      </c>
      <c r="AH56" s="249">
        <f t="shared" si="26"/>
        <v>0</v>
      </c>
      <c r="AI56" s="249">
        <f>AI54+AI39+AI19</f>
        <v>13488.530083333331</v>
      </c>
      <c r="AJ56" s="250">
        <f>AJ54+AJ39+AJ19</f>
        <v>193253.84227777776</v>
      </c>
      <c r="AK56" s="55"/>
    </row>
    <row r="57" spans="1:37" ht="12.75" customHeight="1" thickTop="1">
      <c r="E57" s="242"/>
      <c r="F57" s="243"/>
      <c r="G57" s="243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54"/>
    </row>
    <row r="58" spans="1:37" ht="12.75" customHeight="1">
      <c r="E58" s="242"/>
      <c r="F58" s="243"/>
      <c r="G58" s="243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54"/>
    </row>
    <row r="59" spans="1:37" ht="12.75" customHeight="1">
      <c r="E59" s="242"/>
      <c r="F59" s="243"/>
      <c r="G59" s="243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54"/>
    </row>
    <row r="60" spans="1:37" ht="12.75" customHeight="1">
      <c r="E60" s="242"/>
      <c r="F60" s="243"/>
      <c r="G60" s="243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  <c r="AK60" s="54"/>
    </row>
    <row r="61" spans="1:37" ht="12.75" customHeight="1">
      <c r="A61" s="44" t="s">
        <v>105</v>
      </c>
      <c r="E61" s="56"/>
      <c r="F61" s="52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4"/>
    </row>
    <row r="62" spans="1:37" ht="12.75" customHeight="1">
      <c r="A62" s="48">
        <v>41425</v>
      </c>
      <c r="B62" s="53" t="s">
        <v>233</v>
      </c>
      <c r="C62" s="46" t="s">
        <v>234</v>
      </c>
      <c r="E62" s="54">
        <f>19330+16190.5</f>
        <v>35520.5</v>
      </c>
      <c r="F62" s="47">
        <f t="shared" ref="F62:F69" si="27">E62</f>
        <v>35520.5</v>
      </c>
      <c r="G62" s="54">
        <f t="shared" ref="G62:G68" si="28">E62</f>
        <v>35520.5</v>
      </c>
      <c r="H62" s="54">
        <f t="shared" ref="H62:H69" si="29">G62/36</f>
        <v>986.68055555555554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986.68</v>
      </c>
      <c r="O62" s="54">
        <v>986.68</v>
      </c>
      <c r="P62" s="54">
        <v>986.68</v>
      </c>
      <c r="Q62" s="54">
        <v>986.68</v>
      </c>
      <c r="R62" s="54">
        <v>986.68</v>
      </c>
      <c r="S62" s="54">
        <v>986.68</v>
      </c>
      <c r="T62" s="54">
        <v>986.68</v>
      </c>
      <c r="U62" s="54">
        <f t="shared" ref="U62:U67" si="30">SUM(I62:T62)</f>
        <v>6906.76</v>
      </c>
      <c r="V62" s="54">
        <v>4933.4066666666695</v>
      </c>
      <c r="W62" s="54">
        <f>E62/60</f>
        <v>592.00833333333333</v>
      </c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>
        <f>SUM(W62:AH62)</f>
        <v>592.00833333333333</v>
      </c>
      <c r="AJ62" s="54">
        <f>V62-AI62</f>
        <v>4341.3983333333363</v>
      </c>
      <c r="AK62" s="54"/>
    </row>
    <row r="63" spans="1:37" ht="12.75" customHeight="1">
      <c r="A63" s="48">
        <v>41099</v>
      </c>
      <c r="B63" s="53" t="s">
        <v>235</v>
      </c>
      <c r="C63" s="46" t="s">
        <v>236</v>
      </c>
      <c r="D63" s="51"/>
      <c r="E63" s="54">
        <v>9825.2999999999993</v>
      </c>
      <c r="F63" s="47">
        <f t="shared" si="27"/>
        <v>9825.2999999999993</v>
      </c>
      <c r="G63" s="54">
        <f t="shared" si="28"/>
        <v>9825.2999999999993</v>
      </c>
      <c r="H63" s="54">
        <f t="shared" si="29"/>
        <v>272.92499999999995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272.92500000000001</v>
      </c>
      <c r="Q63" s="54">
        <v>272.92500000000001</v>
      </c>
      <c r="R63" s="54">
        <v>272.92500000000001</v>
      </c>
      <c r="S63" s="54">
        <v>272.92500000000001</v>
      </c>
      <c r="T63" s="54">
        <v>272.92500000000001</v>
      </c>
      <c r="U63" s="54">
        <f t="shared" si="30"/>
        <v>1364.625</v>
      </c>
      <c r="V63" s="54">
        <v>1910.4749999999999</v>
      </c>
      <c r="W63" s="54">
        <f t="shared" ref="W63:W69" si="31">E63/60</f>
        <v>163.755</v>
      </c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>
        <f t="shared" ref="AI63:AI69" si="32">SUM(W63:AH63)</f>
        <v>163.755</v>
      </c>
      <c r="AJ63" s="54">
        <f t="shared" ref="AJ63:AJ69" si="33">V63-AI63</f>
        <v>1746.7199999999998</v>
      </c>
      <c r="AK63" s="54"/>
    </row>
    <row r="64" spans="1:37" ht="12.75" customHeight="1">
      <c r="A64" s="48">
        <v>41107</v>
      </c>
      <c r="B64" s="53"/>
      <c r="C64" s="46" t="s">
        <v>237</v>
      </c>
      <c r="D64" s="51"/>
      <c r="E64" s="54">
        <v>5351.5</v>
      </c>
      <c r="F64" s="47">
        <f t="shared" si="27"/>
        <v>5351.5</v>
      </c>
      <c r="G64" s="54">
        <f t="shared" si="28"/>
        <v>5351.5</v>
      </c>
      <c r="H64" s="54">
        <f t="shared" si="29"/>
        <v>148.65277777777777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f>148.652777777778*2</f>
        <v>297.305555555556</v>
      </c>
      <c r="R64" s="54">
        <f>148.652777777778*2</f>
        <v>297.305555555556</v>
      </c>
      <c r="S64" s="54">
        <f>148.652777777778*2</f>
        <v>297.305555555556</v>
      </c>
      <c r="T64" s="54">
        <f>148.652777777778*2</f>
        <v>297.305555555556</v>
      </c>
      <c r="U64" s="54">
        <f t="shared" si="30"/>
        <v>1189.222222222224</v>
      </c>
      <c r="V64" s="54">
        <v>594.6111111111079</v>
      </c>
      <c r="W64" s="54">
        <f t="shared" si="31"/>
        <v>89.191666666666663</v>
      </c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>
        <f t="shared" si="32"/>
        <v>89.191666666666663</v>
      </c>
      <c r="AJ64" s="54">
        <f t="shared" si="33"/>
        <v>505.41944444444124</v>
      </c>
      <c r="AK64" s="54"/>
    </row>
    <row r="65" spans="1:37" ht="12.75" customHeight="1">
      <c r="A65" s="48">
        <v>41152</v>
      </c>
      <c r="C65" s="46" t="s">
        <v>238</v>
      </c>
      <c r="D65" s="57"/>
      <c r="E65" s="54">
        <v>4726.29</v>
      </c>
      <c r="F65" s="47">
        <f t="shared" si="27"/>
        <v>4726.29</v>
      </c>
      <c r="G65" s="54">
        <f t="shared" si="28"/>
        <v>4726.29</v>
      </c>
      <c r="H65" s="54">
        <f t="shared" si="29"/>
        <v>131.28583333333333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131.28583333333333</v>
      </c>
      <c r="R65" s="54">
        <v>131.28583333333333</v>
      </c>
      <c r="S65" s="54">
        <v>131.28583333333333</v>
      </c>
      <c r="T65" s="54">
        <v>131.28583333333333</v>
      </c>
      <c r="U65" s="54">
        <f t="shared" si="30"/>
        <v>525.14333333333332</v>
      </c>
      <c r="V65" s="54">
        <v>1050.2866666666662</v>
      </c>
      <c r="W65" s="54">
        <f t="shared" si="31"/>
        <v>78.771500000000003</v>
      </c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>
        <f t="shared" si="32"/>
        <v>78.771500000000003</v>
      </c>
      <c r="AJ65" s="54">
        <f t="shared" si="33"/>
        <v>971.51516666666612</v>
      </c>
      <c r="AK65" s="54"/>
    </row>
    <row r="66" spans="1:37" ht="12.75" hidden="1" customHeight="1">
      <c r="A66" s="48">
        <v>41113</v>
      </c>
      <c r="C66" s="46" t="s">
        <v>237</v>
      </c>
      <c r="D66" s="51"/>
      <c r="E66" s="54">
        <v>5188</v>
      </c>
      <c r="F66" s="47">
        <f t="shared" si="27"/>
        <v>5188</v>
      </c>
      <c r="G66" s="54">
        <f t="shared" si="28"/>
        <v>5188</v>
      </c>
      <c r="H66" s="54">
        <f t="shared" si="29"/>
        <v>144.11111111111111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144.11111111111111</v>
      </c>
      <c r="Q66" s="54">
        <v>144.11111111111111</v>
      </c>
      <c r="R66" s="54">
        <v>144.11111111111111</v>
      </c>
      <c r="S66" s="54">
        <v>144.11111111111111</v>
      </c>
      <c r="T66" s="54">
        <v>144.11111111111111</v>
      </c>
      <c r="U66" s="54">
        <f t="shared" si="30"/>
        <v>720.55555555555554</v>
      </c>
      <c r="V66" s="54">
        <v>1008.7777777777781</v>
      </c>
      <c r="W66" s="54">
        <f t="shared" si="31"/>
        <v>86.466666666666669</v>
      </c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>
        <f t="shared" si="32"/>
        <v>86.466666666666669</v>
      </c>
      <c r="AJ66" s="54">
        <f t="shared" si="33"/>
        <v>922.31111111111136</v>
      </c>
      <c r="AK66" s="54"/>
    </row>
    <row r="67" spans="1:37" s="49" customFormat="1" ht="12.75" customHeight="1">
      <c r="A67" s="48">
        <v>41156</v>
      </c>
      <c r="B67" s="45"/>
      <c r="C67" s="46" t="s">
        <v>237</v>
      </c>
      <c r="D67" s="51"/>
      <c r="E67" s="54">
        <v>8694.8700000000008</v>
      </c>
      <c r="F67" s="47">
        <f t="shared" si="27"/>
        <v>8694.8700000000008</v>
      </c>
      <c r="G67" s="54">
        <f t="shared" si="28"/>
        <v>8694.8700000000008</v>
      </c>
      <c r="H67" s="54">
        <f t="shared" si="29"/>
        <v>241.5241666666667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241.5241666666667</v>
      </c>
      <c r="R67" s="54">
        <v>241.5241666666667</v>
      </c>
      <c r="S67" s="54">
        <v>241.5241666666667</v>
      </c>
      <c r="T67" s="54">
        <v>241.5241666666667</v>
      </c>
      <c r="U67" s="54">
        <f t="shared" si="30"/>
        <v>966.09666666666681</v>
      </c>
      <c r="V67" s="54">
        <v>1932.1933333333359</v>
      </c>
      <c r="W67" s="54">
        <f t="shared" si="31"/>
        <v>144.9145</v>
      </c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>
        <f t="shared" si="32"/>
        <v>144.9145</v>
      </c>
      <c r="AJ67" s="54">
        <f t="shared" si="33"/>
        <v>1787.2788333333358</v>
      </c>
      <c r="AK67" s="54"/>
    </row>
    <row r="68" spans="1:37" ht="12.75" customHeight="1">
      <c r="A68" s="48">
        <v>41177</v>
      </c>
      <c r="C68" s="46" t="s">
        <v>237</v>
      </c>
      <c r="D68" s="51"/>
      <c r="E68" s="54">
        <f>367.75/1.12</f>
        <v>328.34821428571428</v>
      </c>
      <c r="F68" s="47">
        <f t="shared" si="27"/>
        <v>328.34821428571428</v>
      </c>
      <c r="G68" s="54">
        <f t="shared" si="28"/>
        <v>328.34821428571428</v>
      </c>
      <c r="H68" s="54">
        <f t="shared" si="29"/>
        <v>9.1207837301587293</v>
      </c>
      <c r="I68" s="54"/>
      <c r="J68" s="54"/>
      <c r="K68" s="54"/>
      <c r="L68" s="54"/>
      <c r="M68" s="54"/>
      <c r="N68" s="54"/>
      <c r="O68" s="54"/>
      <c r="P68" s="54"/>
      <c r="Q68" s="54"/>
      <c r="R68" s="54">
        <f>H68</f>
        <v>9.1207837301587293</v>
      </c>
      <c r="S68" s="54">
        <v>9.1207837301587293</v>
      </c>
      <c r="T68" s="54">
        <v>9.1207837301587293</v>
      </c>
      <c r="U68" s="54">
        <f>SUM(I68:T68)</f>
        <v>27.36235119047619</v>
      </c>
      <c r="V68" s="54">
        <v>82.087053571428541</v>
      </c>
      <c r="W68" s="54">
        <f t="shared" si="31"/>
        <v>5.4724702380952381</v>
      </c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>
        <f t="shared" si="32"/>
        <v>5.4724702380952381</v>
      </c>
      <c r="AJ68" s="54">
        <f t="shared" si="33"/>
        <v>76.6145833333333</v>
      </c>
      <c r="AK68" s="54"/>
    </row>
    <row r="69" spans="1:37" ht="12.75" customHeight="1">
      <c r="A69" s="48">
        <v>41206</v>
      </c>
      <c r="C69" s="46" t="s">
        <v>237</v>
      </c>
      <c r="D69" s="51"/>
      <c r="E69" s="54">
        <v>124.75</v>
      </c>
      <c r="F69" s="47">
        <f t="shared" si="27"/>
        <v>124.75</v>
      </c>
      <c r="G69" s="54">
        <f>E69</f>
        <v>124.75</v>
      </c>
      <c r="H69" s="54">
        <f t="shared" si="29"/>
        <v>3.4652777777777777</v>
      </c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>
        <v>3.4652777777777777</v>
      </c>
      <c r="T69" s="54">
        <v>3.4652777777777777</v>
      </c>
      <c r="U69" s="54">
        <f>SUM(I69:T69)</f>
        <v>6.9305555555555554</v>
      </c>
      <c r="V69" s="54">
        <v>34.652777777777779</v>
      </c>
      <c r="W69" s="54">
        <f t="shared" si="31"/>
        <v>2.0791666666666666</v>
      </c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>
        <f t="shared" si="32"/>
        <v>2.0791666666666666</v>
      </c>
      <c r="AJ69" s="54">
        <f t="shared" si="33"/>
        <v>32.573611111111113</v>
      </c>
      <c r="AK69" s="54"/>
    </row>
    <row r="70" spans="1:37" ht="12.75" hidden="1" customHeight="1">
      <c r="D70" s="51"/>
      <c r="E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</row>
    <row r="71" spans="1:37" ht="12.75" customHeight="1">
      <c r="A71" s="44"/>
      <c r="B71" s="237"/>
      <c r="C71" s="49"/>
      <c r="D71" s="49"/>
      <c r="E71" s="241">
        <f>SUM(E62:E70)</f>
        <v>69759.558214285717</v>
      </c>
      <c r="F71" s="241">
        <f t="shared" ref="F71:AH71" si="34">SUM(F62:F70)</f>
        <v>69759.558214285717</v>
      </c>
      <c r="G71" s="241">
        <f t="shared" si="34"/>
        <v>69759.558214285717</v>
      </c>
      <c r="H71" s="241">
        <f t="shared" si="34"/>
        <v>1937.7655059523811</v>
      </c>
      <c r="I71" s="241">
        <f t="shared" si="34"/>
        <v>0</v>
      </c>
      <c r="J71" s="241">
        <f t="shared" si="34"/>
        <v>0</v>
      </c>
      <c r="K71" s="241">
        <f t="shared" si="34"/>
        <v>0</v>
      </c>
      <c r="L71" s="241">
        <f t="shared" si="34"/>
        <v>0</v>
      </c>
      <c r="M71" s="241">
        <f t="shared" si="34"/>
        <v>0</v>
      </c>
      <c r="N71" s="241">
        <f t="shared" si="34"/>
        <v>986.68</v>
      </c>
      <c r="O71" s="241">
        <f t="shared" si="34"/>
        <v>986.68</v>
      </c>
      <c r="P71" s="241">
        <f t="shared" si="34"/>
        <v>1403.7161111111111</v>
      </c>
      <c r="Q71" s="241">
        <f t="shared" si="34"/>
        <v>2073.8316666666674</v>
      </c>
      <c r="R71" s="241">
        <f t="shared" si="34"/>
        <v>2082.952450396826</v>
      </c>
      <c r="S71" s="241">
        <f t="shared" si="34"/>
        <v>2086.4177281746038</v>
      </c>
      <c r="T71" s="241">
        <f t="shared" si="34"/>
        <v>2086.4177281746038</v>
      </c>
      <c r="U71" s="241">
        <f t="shared" si="34"/>
        <v>11706.695684523811</v>
      </c>
      <c r="V71" s="241">
        <v>11546.490386904763</v>
      </c>
      <c r="W71" s="241">
        <f t="shared" si="34"/>
        <v>1162.6593035714286</v>
      </c>
      <c r="X71" s="241">
        <f t="shared" si="34"/>
        <v>0</v>
      </c>
      <c r="Y71" s="241">
        <f t="shared" si="34"/>
        <v>0</v>
      </c>
      <c r="Z71" s="241">
        <f t="shared" si="34"/>
        <v>0</v>
      </c>
      <c r="AA71" s="241">
        <f t="shared" si="34"/>
        <v>0</v>
      </c>
      <c r="AB71" s="241">
        <f t="shared" si="34"/>
        <v>0</v>
      </c>
      <c r="AC71" s="241">
        <f t="shared" si="34"/>
        <v>0</v>
      </c>
      <c r="AD71" s="241">
        <f t="shared" si="34"/>
        <v>0</v>
      </c>
      <c r="AE71" s="241">
        <f t="shared" si="34"/>
        <v>0</v>
      </c>
      <c r="AF71" s="241">
        <f t="shared" si="34"/>
        <v>0</v>
      </c>
      <c r="AG71" s="241">
        <f t="shared" si="34"/>
        <v>0</v>
      </c>
      <c r="AH71" s="241">
        <f t="shared" si="34"/>
        <v>0</v>
      </c>
      <c r="AI71" s="241">
        <f>SUM(AI62:AI70)</f>
        <v>1162.6593035714286</v>
      </c>
      <c r="AJ71" s="251">
        <f>SUM(AJ62:AJ70)</f>
        <v>10383.831083333334</v>
      </c>
      <c r="AK71" s="55"/>
    </row>
    <row r="72" spans="1:37" ht="12.75" customHeight="1">
      <c r="E72" s="242"/>
      <c r="F72" s="243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54"/>
    </row>
    <row r="73" spans="1:37" ht="12.75" customHeight="1">
      <c r="E73" s="496"/>
    </row>
    <row r="74" spans="1:37" ht="12.75" customHeight="1">
      <c r="AK74" s="496"/>
    </row>
  </sheetData>
  <phoneticPr fontId="36" type="noConversion"/>
  <pageMargins left="0.25" right="0.19" top="0.92" bottom="0" header="0.48" footer="0.22"/>
  <pageSetup paperSize="9" scale="75" orientation="landscape" horizontalDpi="4294967293" r:id="rId1"/>
  <headerFooter alignWithMargins="0"/>
  <rowBreaks count="1" manualBreakCount="1">
    <brk id="56" max="37" man="1"/>
  </rowBreaks>
  <colBreaks count="1" manualBreakCount="1">
    <brk id="22" max="76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DO177"/>
  <sheetViews>
    <sheetView zoomScaleNormal="100" workbookViewId="0">
      <pane xSplit="2" ySplit="6" topLeftCell="C31" activePane="bottomRight" state="frozen"/>
      <selection pane="topRight" activeCell="D1" sqref="D1"/>
      <selection pane="bottomLeft" activeCell="A7" sqref="A7"/>
      <selection pane="bottomRight" activeCell="D87" sqref="D87"/>
    </sheetView>
  </sheetViews>
  <sheetFormatPr defaultRowHeight="15"/>
  <cols>
    <col min="1" max="1" width="21.5703125" style="58" customWidth="1"/>
    <col min="2" max="2" width="16.7109375" style="59" customWidth="1"/>
    <col min="3" max="3" width="12.5703125" style="60" customWidth="1"/>
    <col min="4" max="4" width="16" style="59" customWidth="1"/>
    <col min="5" max="5" width="23" style="61" customWidth="1"/>
    <col min="6" max="6" width="22.7109375" style="62" customWidth="1"/>
    <col min="7" max="11" width="9.140625" style="62"/>
    <col min="12" max="13" width="9.140625" style="491"/>
    <col min="14" max="16384" width="9.140625" style="62"/>
  </cols>
  <sheetData>
    <row r="1" spans="1:11">
      <c r="A1" s="58" t="s">
        <v>258</v>
      </c>
    </row>
    <row r="2" spans="1:11">
      <c r="A2" s="58" t="s">
        <v>52</v>
      </c>
    </row>
    <row r="3" spans="1:11">
      <c r="A3" s="58" t="s">
        <v>389</v>
      </c>
    </row>
    <row r="4" spans="1:11" s="63" customFormat="1" ht="12.75">
      <c r="C4" s="218"/>
      <c r="E4" s="64"/>
    </row>
    <row r="5" spans="1:11" s="63" customFormat="1" ht="12.75" customHeight="1">
      <c r="A5" s="219" t="s">
        <v>259</v>
      </c>
      <c r="B5" s="220" t="s">
        <v>260</v>
      </c>
      <c r="C5" s="544" t="s">
        <v>388</v>
      </c>
      <c r="D5" s="545"/>
      <c r="E5" s="221" t="s">
        <v>361</v>
      </c>
      <c r="F5" s="222" t="s">
        <v>305</v>
      </c>
    </row>
    <row r="6" spans="1:11" s="63" customFormat="1" ht="12.75">
      <c r="A6" s="223"/>
      <c r="B6" s="224"/>
      <c r="C6" s="225" t="s">
        <v>303</v>
      </c>
      <c r="D6" s="224" t="s">
        <v>304</v>
      </c>
      <c r="E6" s="226"/>
      <c r="F6" s="227" t="s">
        <v>306</v>
      </c>
    </row>
    <row r="7" spans="1:11">
      <c r="A7" s="228" t="s">
        <v>265</v>
      </c>
      <c r="B7" s="229">
        <v>3800</v>
      </c>
      <c r="C7" s="230">
        <v>3</v>
      </c>
      <c r="D7" s="229">
        <f t="shared" ref="D7:D51" si="0">C7*B7</f>
        <v>11400</v>
      </c>
      <c r="E7" s="230">
        <f>C7</f>
        <v>3</v>
      </c>
      <c r="F7" s="65">
        <f>D7</f>
        <v>11400</v>
      </c>
      <c r="J7" s="66"/>
    </row>
    <row r="8" spans="1:11">
      <c r="A8" s="228" t="s">
        <v>262</v>
      </c>
      <c r="B8" s="229">
        <v>2150</v>
      </c>
      <c r="C8" s="230">
        <v>1</v>
      </c>
      <c r="D8" s="229">
        <f t="shared" si="0"/>
        <v>2150</v>
      </c>
      <c r="E8" s="230">
        <f t="shared" ref="E8:E82" si="1">C8</f>
        <v>1</v>
      </c>
      <c r="F8" s="65">
        <f t="shared" ref="F8:F86" si="2">D8</f>
        <v>2150</v>
      </c>
      <c r="J8" s="66"/>
    </row>
    <row r="9" spans="1:11">
      <c r="A9" s="228" t="s">
        <v>423</v>
      </c>
      <c r="B9" s="229">
        <v>2550</v>
      </c>
      <c r="C9" s="230"/>
      <c r="D9" s="229">
        <f t="shared" si="0"/>
        <v>0</v>
      </c>
      <c r="E9" s="230">
        <f t="shared" si="1"/>
        <v>0</v>
      </c>
      <c r="F9" s="65">
        <f t="shared" si="2"/>
        <v>0</v>
      </c>
      <c r="J9" s="66"/>
    </row>
    <row r="10" spans="1:11">
      <c r="A10" s="228" t="s">
        <v>424</v>
      </c>
      <c r="B10" s="229">
        <v>7200</v>
      </c>
      <c r="C10" s="230">
        <v>3</v>
      </c>
      <c r="D10" s="229">
        <f t="shared" si="0"/>
        <v>21600</v>
      </c>
      <c r="E10" s="230">
        <f t="shared" si="1"/>
        <v>3</v>
      </c>
      <c r="F10" s="65">
        <f t="shared" si="2"/>
        <v>21600</v>
      </c>
      <c r="J10" s="66"/>
    </row>
    <row r="11" spans="1:11">
      <c r="A11" s="228" t="s">
        <v>425</v>
      </c>
      <c r="B11" s="229">
        <v>8200</v>
      </c>
      <c r="C11" s="230">
        <v>1</v>
      </c>
      <c r="D11" s="229">
        <f t="shared" si="0"/>
        <v>8200</v>
      </c>
      <c r="E11" s="230">
        <f t="shared" si="1"/>
        <v>1</v>
      </c>
      <c r="F11" s="65">
        <f t="shared" si="2"/>
        <v>8200</v>
      </c>
      <c r="J11" s="66"/>
    </row>
    <row r="12" spans="1:11">
      <c r="A12" s="228" t="s">
        <v>267</v>
      </c>
      <c r="B12" s="229">
        <v>1016.27</v>
      </c>
      <c r="C12" s="230"/>
      <c r="D12" s="229">
        <f t="shared" si="0"/>
        <v>0</v>
      </c>
      <c r="E12" s="230">
        <f t="shared" si="1"/>
        <v>0</v>
      </c>
      <c r="F12" s="65">
        <f t="shared" si="2"/>
        <v>0</v>
      </c>
      <c r="J12" s="67"/>
    </row>
    <row r="13" spans="1:11">
      <c r="A13" s="228" t="s">
        <v>293</v>
      </c>
      <c r="B13" s="229">
        <v>1062.47</v>
      </c>
      <c r="C13" s="230"/>
      <c r="D13" s="229">
        <f t="shared" si="0"/>
        <v>0</v>
      </c>
      <c r="E13" s="230">
        <f t="shared" si="1"/>
        <v>0</v>
      </c>
      <c r="F13" s="65">
        <f t="shared" si="2"/>
        <v>0</v>
      </c>
      <c r="J13" s="67"/>
    </row>
    <row r="14" spans="1:11">
      <c r="A14" s="228" t="s">
        <v>295</v>
      </c>
      <c r="B14" s="229">
        <v>3487.67</v>
      </c>
      <c r="C14" s="230"/>
      <c r="D14" s="229">
        <f t="shared" si="0"/>
        <v>0</v>
      </c>
      <c r="E14" s="230">
        <f t="shared" si="1"/>
        <v>0</v>
      </c>
      <c r="F14" s="65">
        <f t="shared" si="2"/>
        <v>0</v>
      </c>
      <c r="J14" s="67"/>
      <c r="K14" s="497"/>
    </row>
    <row r="15" spans="1:11">
      <c r="A15" s="228" t="s">
        <v>277</v>
      </c>
      <c r="B15" s="229">
        <v>4619.43</v>
      </c>
      <c r="C15" s="230"/>
      <c r="D15" s="229">
        <f t="shared" si="0"/>
        <v>0</v>
      </c>
      <c r="E15" s="230">
        <f t="shared" si="1"/>
        <v>0</v>
      </c>
      <c r="F15" s="65">
        <f t="shared" si="2"/>
        <v>0</v>
      </c>
      <c r="J15" s="67"/>
      <c r="K15" s="497"/>
    </row>
    <row r="16" spans="1:11">
      <c r="A16" s="228" t="s">
        <v>290</v>
      </c>
      <c r="B16" s="231">
        <v>2725.46</v>
      </c>
      <c r="C16" s="232"/>
      <c r="D16" s="229">
        <f t="shared" si="0"/>
        <v>0</v>
      </c>
      <c r="E16" s="230">
        <f t="shared" si="1"/>
        <v>0</v>
      </c>
      <c r="F16" s="65">
        <f t="shared" si="2"/>
        <v>0</v>
      </c>
      <c r="J16" s="67"/>
    </row>
    <row r="17" spans="1:11">
      <c r="A17" s="228" t="s">
        <v>269</v>
      </c>
      <c r="B17" s="229">
        <v>946.98</v>
      </c>
      <c r="C17" s="230"/>
      <c r="D17" s="229">
        <f t="shared" si="0"/>
        <v>0</v>
      </c>
      <c r="E17" s="230">
        <f t="shared" si="1"/>
        <v>0</v>
      </c>
      <c r="F17" s="65">
        <f t="shared" si="2"/>
        <v>0</v>
      </c>
      <c r="J17" s="67"/>
    </row>
    <row r="18" spans="1:11">
      <c r="A18" s="228" t="s">
        <v>271</v>
      </c>
      <c r="B18" s="229">
        <v>946.98</v>
      </c>
      <c r="C18" s="230"/>
      <c r="D18" s="229">
        <f t="shared" si="0"/>
        <v>0</v>
      </c>
      <c r="E18" s="230">
        <f t="shared" si="1"/>
        <v>0</v>
      </c>
      <c r="F18" s="65">
        <f t="shared" si="2"/>
        <v>0</v>
      </c>
      <c r="J18" s="67"/>
      <c r="K18" s="497"/>
    </row>
    <row r="19" spans="1:11">
      <c r="A19" s="228" t="s">
        <v>294</v>
      </c>
      <c r="B19" s="229">
        <v>1473.6</v>
      </c>
      <c r="C19" s="230"/>
      <c r="D19" s="229">
        <f t="shared" si="0"/>
        <v>0</v>
      </c>
      <c r="E19" s="230">
        <f t="shared" si="1"/>
        <v>0</v>
      </c>
      <c r="F19" s="65">
        <f t="shared" si="2"/>
        <v>0</v>
      </c>
      <c r="J19" s="67"/>
    </row>
    <row r="20" spans="1:11">
      <c r="A20" s="228" t="s">
        <v>276</v>
      </c>
      <c r="B20" s="229">
        <v>2712.06</v>
      </c>
      <c r="C20" s="230"/>
      <c r="D20" s="229">
        <f t="shared" si="0"/>
        <v>0</v>
      </c>
      <c r="E20" s="230">
        <f t="shared" si="1"/>
        <v>0</v>
      </c>
      <c r="F20" s="65">
        <f t="shared" si="2"/>
        <v>0</v>
      </c>
      <c r="J20" s="67"/>
    </row>
    <row r="21" spans="1:11">
      <c r="A21" s="228" t="s">
        <v>368</v>
      </c>
      <c r="B21" s="229">
        <v>2945.83</v>
      </c>
      <c r="C21" s="230"/>
      <c r="D21" s="229">
        <f t="shared" si="0"/>
        <v>0</v>
      </c>
      <c r="E21" s="230">
        <f t="shared" si="1"/>
        <v>0</v>
      </c>
      <c r="F21" s="65">
        <f t="shared" si="2"/>
        <v>0</v>
      </c>
      <c r="J21" s="67"/>
    </row>
    <row r="22" spans="1:11">
      <c r="A22" s="228" t="s">
        <v>296</v>
      </c>
      <c r="B22" s="229">
        <v>1250.1500000000001</v>
      </c>
      <c r="C22" s="230"/>
      <c r="D22" s="229">
        <f t="shared" si="0"/>
        <v>0</v>
      </c>
      <c r="E22" s="230">
        <f t="shared" si="1"/>
        <v>0</v>
      </c>
      <c r="F22" s="65">
        <f t="shared" si="2"/>
        <v>0</v>
      </c>
      <c r="J22" s="67"/>
    </row>
    <row r="23" spans="1:11">
      <c r="A23" s="228" t="s">
        <v>348</v>
      </c>
      <c r="B23" s="229">
        <v>1013.36</v>
      </c>
      <c r="C23" s="230"/>
      <c r="D23" s="229">
        <f t="shared" si="0"/>
        <v>0</v>
      </c>
      <c r="E23" s="230">
        <f t="shared" si="1"/>
        <v>0</v>
      </c>
      <c r="F23" s="65">
        <f t="shared" si="2"/>
        <v>0</v>
      </c>
      <c r="J23" s="67"/>
    </row>
    <row r="24" spans="1:11">
      <c r="A24" s="228" t="s">
        <v>289</v>
      </c>
      <c r="B24" s="231">
        <v>1591.09</v>
      </c>
      <c r="C24" s="232"/>
      <c r="D24" s="229">
        <f t="shared" si="0"/>
        <v>0</v>
      </c>
      <c r="E24" s="230">
        <f t="shared" si="1"/>
        <v>0</v>
      </c>
      <c r="F24" s="65">
        <f t="shared" si="2"/>
        <v>0</v>
      </c>
      <c r="J24" s="67"/>
    </row>
    <row r="25" spans="1:11">
      <c r="A25" s="228" t="s">
        <v>279</v>
      </c>
      <c r="B25" s="229">
        <v>1591.07</v>
      </c>
      <c r="C25" s="230"/>
      <c r="D25" s="229">
        <f t="shared" si="0"/>
        <v>0</v>
      </c>
      <c r="E25" s="230">
        <f t="shared" si="1"/>
        <v>0</v>
      </c>
      <c r="F25" s="65">
        <f t="shared" si="2"/>
        <v>0</v>
      </c>
      <c r="J25" s="67"/>
    </row>
    <row r="26" spans="1:11">
      <c r="A26" s="228" t="s">
        <v>349</v>
      </c>
      <c r="B26" s="229">
        <v>2613.94</v>
      </c>
      <c r="C26" s="230"/>
      <c r="D26" s="229">
        <f t="shared" si="0"/>
        <v>0</v>
      </c>
      <c r="E26" s="230">
        <f t="shared" si="1"/>
        <v>0</v>
      </c>
      <c r="F26" s="65">
        <f t="shared" si="2"/>
        <v>0</v>
      </c>
      <c r="J26" s="67"/>
    </row>
    <row r="27" spans="1:11">
      <c r="A27" s="228" t="s">
        <v>275</v>
      </c>
      <c r="B27" s="229">
        <v>831.5</v>
      </c>
      <c r="C27" s="230"/>
      <c r="D27" s="229">
        <f t="shared" si="0"/>
        <v>0</v>
      </c>
      <c r="E27" s="230">
        <f t="shared" si="1"/>
        <v>0</v>
      </c>
      <c r="F27" s="65">
        <f t="shared" si="2"/>
        <v>0</v>
      </c>
      <c r="J27" s="67"/>
    </row>
    <row r="28" spans="1:11">
      <c r="A28" s="228" t="s">
        <v>412</v>
      </c>
      <c r="B28" s="229">
        <v>1565.92</v>
      </c>
      <c r="C28" s="230">
        <v>3</v>
      </c>
      <c r="D28" s="229">
        <f t="shared" si="0"/>
        <v>4697.76</v>
      </c>
      <c r="E28" s="230">
        <f t="shared" si="1"/>
        <v>3</v>
      </c>
      <c r="F28" s="65">
        <f t="shared" si="2"/>
        <v>4697.76</v>
      </c>
      <c r="J28" s="67"/>
    </row>
    <row r="29" spans="1:11">
      <c r="A29" s="228" t="s">
        <v>413</v>
      </c>
      <c r="B29" s="229">
        <v>1613.57</v>
      </c>
      <c r="C29" s="230">
        <v>4</v>
      </c>
      <c r="D29" s="229">
        <f t="shared" si="0"/>
        <v>6454.28</v>
      </c>
      <c r="E29" s="230">
        <f t="shared" si="1"/>
        <v>4</v>
      </c>
      <c r="F29" s="65">
        <f t="shared" si="2"/>
        <v>6454.28</v>
      </c>
      <c r="J29" s="67"/>
    </row>
    <row r="30" spans="1:11">
      <c r="A30" s="228" t="s">
        <v>414</v>
      </c>
      <c r="B30" s="229">
        <v>1423.56</v>
      </c>
      <c r="C30" s="230"/>
      <c r="D30" s="229">
        <f t="shared" si="0"/>
        <v>0</v>
      </c>
      <c r="E30" s="230">
        <f t="shared" si="1"/>
        <v>0</v>
      </c>
      <c r="F30" s="65">
        <f t="shared" si="2"/>
        <v>0</v>
      </c>
      <c r="J30" s="67"/>
    </row>
    <row r="31" spans="1:11">
      <c r="A31" s="228" t="s">
        <v>438</v>
      </c>
      <c r="B31" s="229">
        <v>1611.76</v>
      </c>
      <c r="C31" s="230">
        <v>-1</v>
      </c>
      <c r="D31" s="229">
        <f>C31*B31</f>
        <v>-1611.76</v>
      </c>
      <c r="E31" s="230">
        <f>C31</f>
        <v>-1</v>
      </c>
      <c r="F31" s="65">
        <f>D31</f>
        <v>-1611.76</v>
      </c>
      <c r="J31" s="67"/>
    </row>
    <row r="32" spans="1:11">
      <c r="A32" s="228" t="s">
        <v>350</v>
      </c>
      <c r="B32" s="229">
        <v>831.5</v>
      </c>
      <c r="C32" s="230"/>
      <c r="D32" s="229">
        <f t="shared" si="0"/>
        <v>0</v>
      </c>
      <c r="E32" s="230">
        <f t="shared" si="1"/>
        <v>0</v>
      </c>
      <c r="F32" s="65">
        <f t="shared" si="2"/>
        <v>0</v>
      </c>
      <c r="J32" s="67"/>
    </row>
    <row r="33" spans="1:10">
      <c r="A33" s="228" t="s">
        <v>426</v>
      </c>
      <c r="B33" s="229">
        <v>7690.78</v>
      </c>
      <c r="C33" s="230">
        <v>2</v>
      </c>
      <c r="D33" s="229">
        <f t="shared" ref="D33:D38" si="3">C33*B33</f>
        <v>15381.56</v>
      </c>
      <c r="E33" s="230">
        <f t="shared" ref="E33:E38" si="4">C33</f>
        <v>2</v>
      </c>
      <c r="F33" s="65">
        <f t="shared" ref="F33:F38" si="5">D33</f>
        <v>15381.56</v>
      </c>
      <c r="J33" s="67"/>
    </row>
    <row r="34" spans="1:10">
      <c r="A34" s="228" t="s">
        <v>427</v>
      </c>
      <c r="B34" s="229">
        <v>4172.12</v>
      </c>
      <c r="C34" s="230">
        <v>6</v>
      </c>
      <c r="D34" s="229">
        <f t="shared" si="3"/>
        <v>25032.720000000001</v>
      </c>
      <c r="E34" s="230">
        <f t="shared" si="4"/>
        <v>6</v>
      </c>
      <c r="F34" s="65">
        <f t="shared" si="5"/>
        <v>25032.720000000001</v>
      </c>
      <c r="J34" s="67"/>
    </row>
    <row r="35" spans="1:10">
      <c r="A35" s="228" t="s">
        <v>428</v>
      </c>
      <c r="B35" s="229">
        <v>2518.37</v>
      </c>
      <c r="C35" s="230"/>
      <c r="D35" s="229">
        <f t="shared" si="3"/>
        <v>0</v>
      </c>
      <c r="E35" s="230">
        <f t="shared" si="4"/>
        <v>0</v>
      </c>
      <c r="F35" s="65">
        <f t="shared" si="5"/>
        <v>0</v>
      </c>
      <c r="J35" s="67"/>
    </row>
    <row r="36" spans="1:10">
      <c r="A36" s="228" t="s">
        <v>429</v>
      </c>
      <c r="B36" s="229">
        <v>2463.06</v>
      </c>
      <c r="C36" s="230"/>
      <c r="D36" s="229">
        <f t="shared" si="3"/>
        <v>0</v>
      </c>
      <c r="E36" s="230">
        <f t="shared" si="4"/>
        <v>0</v>
      </c>
      <c r="F36" s="65">
        <f t="shared" si="5"/>
        <v>0</v>
      </c>
      <c r="J36" s="67"/>
    </row>
    <row r="37" spans="1:10">
      <c r="A37" s="228" t="s">
        <v>430</v>
      </c>
      <c r="B37" s="229">
        <v>1407.46</v>
      </c>
      <c r="C37" s="230"/>
      <c r="D37" s="229">
        <f t="shared" si="3"/>
        <v>0</v>
      </c>
      <c r="E37" s="230">
        <f t="shared" si="4"/>
        <v>0</v>
      </c>
      <c r="F37" s="65">
        <f t="shared" si="5"/>
        <v>0</v>
      </c>
      <c r="J37" s="67"/>
    </row>
    <row r="38" spans="1:10">
      <c r="A38" s="228" t="s">
        <v>434</v>
      </c>
      <c r="B38" s="229">
        <v>2161.46</v>
      </c>
      <c r="C38" s="230"/>
      <c r="D38" s="229">
        <f t="shared" si="3"/>
        <v>0</v>
      </c>
      <c r="E38" s="230">
        <f t="shared" si="4"/>
        <v>0</v>
      </c>
      <c r="F38" s="65">
        <f t="shared" si="5"/>
        <v>0</v>
      </c>
      <c r="J38" s="67"/>
    </row>
    <row r="39" spans="1:10">
      <c r="A39" s="228" t="s">
        <v>431</v>
      </c>
      <c r="B39" s="229">
        <v>1407.46</v>
      </c>
      <c r="C39" s="230">
        <v>15</v>
      </c>
      <c r="D39" s="229">
        <f t="shared" si="0"/>
        <v>21111.9</v>
      </c>
      <c r="E39" s="230">
        <f t="shared" ref="E39:F41" si="6">C39</f>
        <v>15</v>
      </c>
      <c r="F39" s="65">
        <f t="shared" si="6"/>
        <v>21111.9</v>
      </c>
      <c r="J39" s="67"/>
    </row>
    <row r="40" spans="1:10">
      <c r="A40" s="228" t="s">
        <v>432</v>
      </c>
      <c r="B40" s="229">
        <v>2463.06</v>
      </c>
      <c r="C40" s="230">
        <v>20</v>
      </c>
      <c r="D40" s="229">
        <f t="shared" si="0"/>
        <v>49261.2</v>
      </c>
      <c r="E40" s="230">
        <f t="shared" si="6"/>
        <v>20</v>
      </c>
      <c r="F40" s="65">
        <f t="shared" si="6"/>
        <v>49261.2</v>
      </c>
      <c r="J40" s="67"/>
    </row>
    <row r="41" spans="1:10">
      <c r="A41" s="228" t="s">
        <v>433</v>
      </c>
      <c r="B41" s="229">
        <v>2161.46</v>
      </c>
      <c r="C41" s="230"/>
      <c r="D41" s="229">
        <f t="shared" si="0"/>
        <v>0</v>
      </c>
      <c r="E41" s="230">
        <f t="shared" si="6"/>
        <v>0</v>
      </c>
      <c r="F41" s="65">
        <f t="shared" si="6"/>
        <v>0</v>
      </c>
      <c r="J41" s="67"/>
    </row>
    <row r="42" spans="1:10">
      <c r="A42" s="228" t="s">
        <v>278</v>
      </c>
      <c r="B42" s="229">
        <v>1616.8</v>
      </c>
      <c r="C42" s="230"/>
      <c r="D42" s="229">
        <f t="shared" si="0"/>
        <v>0</v>
      </c>
      <c r="E42" s="230">
        <f t="shared" si="1"/>
        <v>0</v>
      </c>
      <c r="F42" s="65">
        <f t="shared" si="2"/>
        <v>0</v>
      </c>
      <c r="J42" s="67"/>
    </row>
    <row r="43" spans="1:10">
      <c r="A43" s="228" t="s">
        <v>297</v>
      </c>
      <c r="B43" s="229">
        <v>1950.54</v>
      </c>
      <c r="C43" s="230"/>
      <c r="D43" s="229">
        <f t="shared" si="0"/>
        <v>0</v>
      </c>
      <c r="E43" s="230">
        <f t="shared" si="1"/>
        <v>0</v>
      </c>
      <c r="F43" s="65">
        <f t="shared" si="2"/>
        <v>0</v>
      </c>
      <c r="J43" s="67"/>
    </row>
    <row r="44" spans="1:10">
      <c r="A44" s="228" t="s">
        <v>288</v>
      </c>
      <c r="B44" s="231">
        <v>1684.29</v>
      </c>
      <c r="C44" s="232"/>
      <c r="D44" s="229">
        <f t="shared" si="0"/>
        <v>0</v>
      </c>
      <c r="E44" s="230">
        <f t="shared" si="1"/>
        <v>0</v>
      </c>
      <c r="F44" s="65">
        <f t="shared" si="2"/>
        <v>0</v>
      </c>
      <c r="J44" s="67"/>
    </row>
    <row r="45" spans="1:10">
      <c r="A45" s="228" t="s">
        <v>287</v>
      </c>
      <c r="B45" s="229">
        <v>758.54</v>
      </c>
      <c r="C45" s="230">
        <v>2</v>
      </c>
      <c r="D45" s="229">
        <f t="shared" si="0"/>
        <v>1517.08</v>
      </c>
      <c r="E45" s="230">
        <f t="shared" si="1"/>
        <v>2</v>
      </c>
      <c r="F45" s="65">
        <f t="shared" si="2"/>
        <v>1517.08</v>
      </c>
      <c r="J45" s="67"/>
    </row>
    <row r="46" spans="1:10">
      <c r="A46" s="228" t="s">
        <v>286</v>
      </c>
      <c r="B46" s="229">
        <v>758.54</v>
      </c>
      <c r="C46" s="230">
        <v>7</v>
      </c>
      <c r="D46" s="229">
        <f t="shared" si="0"/>
        <v>5309.78</v>
      </c>
      <c r="E46" s="230">
        <f t="shared" si="1"/>
        <v>7</v>
      </c>
      <c r="F46" s="65">
        <f t="shared" si="2"/>
        <v>5309.78</v>
      </c>
      <c r="J46" s="67"/>
    </row>
    <row r="47" spans="1:10">
      <c r="A47" s="228" t="s">
        <v>409</v>
      </c>
      <c r="B47" s="229">
        <v>1518.47</v>
      </c>
      <c r="C47" s="230">
        <v>8</v>
      </c>
      <c r="D47" s="229">
        <f t="shared" si="0"/>
        <v>12147.76</v>
      </c>
      <c r="E47" s="230">
        <f t="shared" si="1"/>
        <v>8</v>
      </c>
      <c r="F47" s="65">
        <f t="shared" si="2"/>
        <v>12147.76</v>
      </c>
      <c r="J47" s="67"/>
    </row>
    <row r="48" spans="1:10">
      <c r="A48" s="228" t="s">
        <v>410</v>
      </c>
      <c r="B48" s="229">
        <v>925.32</v>
      </c>
      <c r="C48" s="230">
        <v>1</v>
      </c>
      <c r="D48" s="229">
        <f t="shared" si="0"/>
        <v>925.32</v>
      </c>
      <c r="E48" s="230">
        <f t="shared" si="1"/>
        <v>1</v>
      </c>
      <c r="F48" s="65">
        <f t="shared" si="2"/>
        <v>925.32</v>
      </c>
      <c r="J48" s="67"/>
    </row>
    <row r="49" spans="1:10">
      <c r="A49" s="228" t="s">
        <v>411</v>
      </c>
      <c r="B49" s="229">
        <v>925.32</v>
      </c>
      <c r="C49" s="230">
        <v>7</v>
      </c>
      <c r="D49" s="229">
        <f t="shared" si="0"/>
        <v>6477.2400000000007</v>
      </c>
      <c r="E49" s="230">
        <f t="shared" si="1"/>
        <v>7</v>
      </c>
      <c r="F49" s="65">
        <f t="shared" si="2"/>
        <v>6477.2400000000007</v>
      </c>
      <c r="J49" s="67"/>
    </row>
    <row r="50" spans="1:10">
      <c r="A50" s="228" t="s">
        <v>351</v>
      </c>
      <c r="B50" s="229">
        <v>1181.49</v>
      </c>
      <c r="C50" s="230"/>
      <c r="D50" s="229">
        <f t="shared" si="0"/>
        <v>0</v>
      </c>
      <c r="E50" s="230">
        <f t="shared" si="1"/>
        <v>0</v>
      </c>
      <c r="F50" s="65">
        <f t="shared" si="2"/>
        <v>0</v>
      </c>
      <c r="J50" s="67"/>
    </row>
    <row r="51" spans="1:10">
      <c r="A51" s="228" t="s">
        <v>352</v>
      </c>
      <c r="B51" s="229">
        <v>822.26</v>
      </c>
      <c r="C51" s="230">
        <v>5</v>
      </c>
      <c r="D51" s="229">
        <f t="shared" si="0"/>
        <v>4111.3</v>
      </c>
      <c r="E51" s="230">
        <f t="shared" si="1"/>
        <v>5</v>
      </c>
      <c r="F51" s="65">
        <f t="shared" si="2"/>
        <v>4111.3</v>
      </c>
      <c r="J51" s="67"/>
    </row>
    <row r="52" spans="1:10">
      <c r="A52" s="228" t="s">
        <v>273</v>
      </c>
      <c r="B52" s="229">
        <v>1108.6600000000001</v>
      </c>
      <c r="C52" s="230">
        <v>2</v>
      </c>
      <c r="D52" s="229">
        <f>C52*B52</f>
        <v>2217.3200000000002</v>
      </c>
      <c r="E52" s="230">
        <f t="shared" si="1"/>
        <v>2</v>
      </c>
      <c r="F52" s="65">
        <f t="shared" si="2"/>
        <v>2217.3200000000002</v>
      </c>
      <c r="J52" s="67"/>
    </row>
    <row r="53" spans="1:10">
      <c r="A53" s="228" t="s">
        <v>415</v>
      </c>
      <c r="B53" s="229">
        <v>1939.12</v>
      </c>
      <c r="C53" s="230"/>
      <c r="D53" s="229">
        <f>C53*B53</f>
        <v>0</v>
      </c>
      <c r="E53" s="230">
        <f t="shared" si="1"/>
        <v>0</v>
      </c>
      <c r="F53" s="65">
        <f t="shared" si="2"/>
        <v>0</v>
      </c>
      <c r="J53" s="67"/>
    </row>
    <row r="54" spans="1:10">
      <c r="A54" s="228" t="s">
        <v>353</v>
      </c>
      <c r="B54" s="229">
        <v>3048.82</v>
      </c>
      <c r="C54" s="230"/>
      <c r="D54" s="229">
        <f>C54*B54</f>
        <v>0</v>
      </c>
      <c r="E54" s="230">
        <f t="shared" si="1"/>
        <v>0</v>
      </c>
      <c r="F54" s="65">
        <f t="shared" si="2"/>
        <v>0</v>
      </c>
      <c r="J54" s="67"/>
    </row>
    <row r="55" spans="1:10">
      <c r="A55" s="228" t="s">
        <v>284</v>
      </c>
      <c r="B55" s="229">
        <v>300.26</v>
      </c>
      <c r="C55" s="230">
        <v>10</v>
      </c>
      <c r="D55" s="229">
        <f t="shared" ref="D55:D86" si="7">C55*B55</f>
        <v>3002.6</v>
      </c>
      <c r="E55" s="230">
        <f t="shared" si="1"/>
        <v>10</v>
      </c>
      <c r="F55" s="65">
        <f t="shared" si="2"/>
        <v>3002.6</v>
      </c>
      <c r="J55" s="67"/>
    </row>
    <row r="56" spans="1:10">
      <c r="A56" s="228" t="s">
        <v>292</v>
      </c>
      <c r="B56" s="229">
        <v>2329.44</v>
      </c>
      <c r="C56" s="230">
        <v>2</v>
      </c>
      <c r="D56" s="229">
        <f t="shared" si="7"/>
        <v>4658.88</v>
      </c>
      <c r="E56" s="230">
        <f t="shared" si="1"/>
        <v>2</v>
      </c>
      <c r="F56" s="65">
        <f t="shared" si="2"/>
        <v>4658.88</v>
      </c>
      <c r="J56" s="67"/>
    </row>
    <row r="57" spans="1:10">
      <c r="A57" s="228" t="s">
        <v>300</v>
      </c>
      <c r="B57" s="229">
        <v>2487.7399999999998</v>
      </c>
      <c r="C57" s="230"/>
      <c r="D57" s="229">
        <f t="shared" si="7"/>
        <v>0</v>
      </c>
      <c r="E57" s="230">
        <f t="shared" si="1"/>
        <v>0</v>
      </c>
      <c r="F57" s="65">
        <f t="shared" si="2"/>
        <v>0</v>
      </c>
      <c r="J57" s="67"/>
    </row>
    <row r="58" spans="1:10">
      <c r="A58" s="228" t="s">
        <v>272</v>
      </c>
      <c r="B58" s="229">
        <v>3464.57</v>
      </c>
      <c r="C58" s="230"/>
      <c r="D58" s="229">
        <f t="shared" si="7"/>
        <v>0</v>
      </c>
      <c r="E58" s="230">
        <f t="shared" si="1"/>
        <v>0</v>
      </c>
      <c r="F58" s="65">
        <f t="shared" si="2"/>
        <v>0</v>
      </c>
      <c r="J58" s="67"/>
    </row>
    <row r="59" spans="1:10">
      <c r="A59" s="228" t="s">
        <v>261</v>
      </c>
      <c r="B59" s="229">
        <v>6143.84</v>
      </c>
      <c r="C59" s="230">
        <v>17</v>
      </c>
      <c r="D59" s="229">
        <f t="shared" si="7"/>
        <v>104445.28</v>
      </c>
      <c r="E59" s="230">
        <f t="shared" si="1"/>
        <v>17</v>
      </c>
      <c r="F59" s="65">
        <f t="shared" si="2"/>
        <v>104445.28</v>
      </c>
      <c r="J59" s="67"/>
    </row>
    <row r="60" spans="1:10">
      <c r="A60" s="228" t="s">
        <v>263</v>
      </c>
      <c r="B60" s="229">
        <v>10116.540000000001</v>
      </c>
      <c r="C60" s="230"/>
      <c r="D60" s="229">
        <f t="shared" si="7"/>
        <v>0</v>
      </c>
      <c r="E60" s="230">
        <f t="shared" si="1"/>
        <v>0</v>
      </c>
      <c r="F60" s="65">
        <f t="shared" si="2"/>
        <v>0</v>
      </c>
      <c r="J60" s="67"/>
    </row>
    <row r="61" spans="1:10">
      <c r="A61" s="228" t="s">
        <v>298</v>
      </c>
      <c r="B61" s="229">
        <v>22.5</v>
      </c>
      <c r="C61" s="230"/>
      <c r="D61" s="229">
        <f t="shared" si="7"/>
        <v>0</v>
      </c>
      <c r="E61" s="230">
        <f t="shared" si="1"/>
        <v>0</v>
      </c>
      <c r="F61" s="65">
        <f t="shared" si="2"/>
        <v>0</v>
      </c>
      <c r="J61" s="68"/>
    </row>
    <row r="62" spans="1:10">
      <c r="A62" s="228" t="s">
        <v>299</v>
      </c>
      <c r="B62" s="229">
        <v>22.5</v>
      </c>
      <c r="C62" s="230"/>
      <c r="D62" s="229">
        <f t="shared" si="7"/>
        <v>0</v>
      </c>
      <c r="E62" s="230">
        <f t="shared" si="1"/>
        <v>0</v>
      </c>
      <c r="F62" s="65">
        <f t="shared" si="2"/>
        <v>0</v>
      </c>
      <c r="J62" s="68"/>
    </row>
    <row r="63" spans="1:10">
      <c r="A63" s="228" t="s">
        <v>302</v>
      </c>
      <c r="B63" s="229">
        <v>22.5</v>
      </c>
      <c r="C63" s="230"/>
      <c r="D63" s="229">
        <f t="shared" si="7"/>
        <v>0</v>
      </c>
      <c r="E63" s="230">
        <f t="shared" si="1"/>
        <v>0</v>
      </c>
      <c r="F63" s="65">
        <f t="shared" si="2"/>
        <v>0</v>
      </c>
      <c r="J63" s="67"/>
    </row>
    <row r="64" spans="1:10">
      <c r="A64" s="228" t="s">
        <v>285</v>
      </c>
      <c r="B64" s="229">
        <v>27.5</v>
      </c>
      <c r="C64" s="230">
        <v>9</v>
      </c>
      <c r="D64" s="229">
        <f t="shared" si="7"/>
        <v>247.5</v>
      </c>
      <c r="E64" s="230">
        <f t="shared" si="1"/>
        <v>9</v>
      </c>
      <c r="F64" s="65">
        <f t="shared" si="2"/>
        <v>247.5</v>
      </c>
      <c r="J64" s="67"/>
    </row>
    <row r="65" spans="1:13">
      <c r="A65" s="228" t="s">
        <v>280</v>
      </c>
      <c r="B65" s="229">
        <v>9.24</v>
      </c>
      <c r="C65" s="230">
        <v>135</v>
      </c>
      <c r="D65" s="229">
        <f t="shared" si="7"/>
        <v>1247.4000000000001</v>
      </c>
      <c r="E65" s="230">
        <f t="shared" si="1"/>
        <v>135</v>
      </c>
      <c r="F65" s="65">
        <f t="shared" si="2"/>
        <v>1247.4000000000001</v>
      </c>
      <c r="J65" s="67"/>
    </row>
    <row r="66" spans="1:13">
      <c r="A66" s="228" t="s">
        <v>436</v>
      </c>
      <c r="B66" s="229">
        <v>9.24</v>
      </c>
      <c r="C66" s="230">
        <v>8</v>
      </c>
      <c r="D66" s="229">
        <f>C66*B66</f>
        <v>73.92</v>
      </c>
      <c r="E66" s="230">
        <f>C66</f>
        <v>8</v>
      </c>
      <c r="F66" s="65">
        <f>D66</f>
        <v>73.92</v>
      </c>
      <c r="J66" s="67"/>
    </row>
    <row r="67" spans="1:13">
      <c r="A67" s="228" t="s">
        <v>281</v>
      </c>
      <c r="B67" s="229">
        <v>23.1</v>
      </c>
      <c r="C67" s="230">
        <v>10</v>
      </c>
      <c r="D67" s="229">
        <f t="shared" si="7"/>
        <v>231</v>
      </c>
      <c r="E67" s="230">
        <f t="shared" si="1"/>
        <v>10</v>
      </c>
      <c r="F67" s="65">
        <f t="shared" si="2"/>
        <v>231</v>
      </c>
      <c r="J67" s="67"/>
    </row>
    <row r="68" spans="1:13">
      <c r="A68" s="228" t="s">
        <v>283</v>
      </c>
      <c r="B68" s="229">
        <v>6.93</v>
      </c>
      <c r="C68" s="230">
        <v>81</v>
      </c>
      <c r="D68" s="229">
        <f t="shared" si="7"/>
        <v>561.32999999999993</v>
      </c>
      <c r="E68" s="230">
        <f t="shared" si="1"/>
        <v>81</v>
      </c>
      <c r="F68" s="65">
        <f t="shared" si="2"/>
        <v>561.32999999999993</v>
      </c>
      <c r="J68" s="67"/>
    </row>
    <row r="69" spans="1:13">
      <c r="A69" s="228" t="s">
        <v>282</v>
      </c>
      <c r="B69" s="229">
        <v>34.65</v>
      </c>
      <c r="C69" s="230"/>
      <c r="D69" s="229">
        <f t="shared" si="7"/>
        <v>0</v>
      </c>
      <c r="E69" s="230">
        <f t="shared" si="1"/>
        <v>0</v>
      </c>
      <c r="F69" s="65">
        <f t="shared" si="2"/>
        <v>0</v>
      </c>
      <c r="J69" s="67"/>
    </row>
    <row r="70" spans="1:13">
      <c r="A70" s="228" t="s">
        <v>301</v>
      </c>
      <c r="B70" s="231">
        <v>66.98</v>
      </c>
      <c r="C70" s="232">
        <v>1</v>
      </c>
      <c r="D70" s="229">
        <f t="shared" si="7"/>
        <v>66.98</v>
      </c>
      <c r="E70" s="230">
        <f t="shared" si="1"/>
        <v>1</v>
      </c>
      <c r="F70" s="65">
        <f t="shared" si="2"/>
        <v>66.98</v>
      </c>
      <c r="J70" s="67"/>
    </row>
    <row r="71" spans="1:13">
      <c r="A71" s="228" t="s">
        <v>435</v>
      </c>
      <c r="B71" s="231">
        <v>366.33</v>
      </c>
      <c r="C71" s="232">
        <v>2</v>
      </c>
      <c r="D71" s="229">
        <f>C71*B71</f>
        <v>732.66</v>
      </c>
      <c r="E71" s="230">
        <f>C71</f>
        <v>2</v>
      </c>
      <c r="F71" s="65">
        <f>D71</f>
        <v>732.66</v>
      </c>
      <c r="J71" s="67"/>
    </row>
    <row r="72" spans="1:13">
      <c r="A72" s="228" t="s">
        <v>354</v>
      </c>
      <c r="B72" s="231">
        <v>110</v>
      </c>
      <c r="C72" s="232">
        <v>1</v>
      </c>
      <c r="D72" s="229">
        <f t="shared" si="7"/>
        <v>110</v>
      </c>
      <c r="E72" s="230">
        <f t="shared" si="1"/>
        <v>1</v>
      </c>
      <c r="F72" s="65">
        <f t="shared" si="2"/>
        <v>110</v>
      </c>
      <c r="J72" s="67"/>
    </row>
    <row r="73" spans="1:13">
      <c r="A73" s="228" t="s">
        <v>266</v>
      </c>
      <c r="B73" s="229">
        <v>3741.73</v>
      </c>
      <c r="C73" s="233">
        <v>11.276</v>
      </c>
      <c r="D73" s="229">
        <f>C73*B73</f>
        <v>42191.747479999998</v>
      </c>
      <c r="E73" s="230">
        <f t="shared" si="1"/>
        <v>11.276</v>
      </c>
      <c r="F73" s="65">
        <f t="shared" si="2"/>
        <v>42191.747479999998</v>
      </c>
      <c r="J73" s="67"/>
    </row>
    <row r="74" spans="1:13">
      <c r="A74" s="228" t="s">
        <v>291</v>
      </c>
      <c r="B74" s="231">
        <v>140.88999999999999</v>
      </c>
      <c r="C74" s="232">
        <v>13</v>
      </c>
      <c r="D74" s="229">
        <f t="shared" si="7"/>
        <v>1831.5699999999997</v>
      </c>
      <c r="E74" s="230">
        <f t="shared" si="1"/>
        <v>13</v>
      </c>
      <c r="F74" s="65">
        <f t="shared" si="2"/>
        <v>1831.5699999999997</v>
      </c>
      <c r="J74" s="67"/>
    </row>
    <row r="75" spans="1:13">
      <c r="A75" s="228" t="s">
        <v>264</v>
      </c>
      <c r="B75" s="229">
        <v>254.07</v>
      </c>
      <c r="C75" s="230">
        <v>10</v>
      </c>
      <c r="D75" s="229">
        <f t="shared" si="7"/>
        <v>2540.6999999999998</v>
      </c>
      <c r="E75" s="230">
        <f t="shared" si="1"/>
        <v>10</v>
      </c>
      <c r="F75" s="65">
        <f t="shared" si="2"/>
        <v>2540.6999999999998</v>
      </c>
      <c r="J75" s="67"/>
    </row>
    <row r="76" spans="1:13">
      <c r="A76" s="228" t="s">
        <v>355</v>
      </c>
      <c r="B76" s="229">
        <v>79.2</v>
      </c>
      <c r="C76" s="230"/>
      <c r="D76" s="229">
        <f t="shared" si="7"/>
        <v>0</v>
      </c>
      <c r="E76" s="230">
        <f t="shared" si="1"/>
        <v>0</v>
      </c>
      <c r="F76" s="65">
        <f t="shared" si="2"/>
        <v>0</v>
      </c>
      <c r="J76" s="67"/>
    </row>
    <row r="77" spans="1:13">
      <c r="A77" s="228" t="s">
        <v>356</v>
      </c>
      <c r="B77" s="229">
        <v>19401.59</v>
      </c>
      <c r="C77" s="230"/>
      <c r="D77" s="229">
        <f t="shared" si="7"/>
        <v>0</v>
      </c>
      <c r="E77" s="230">
        <f t="shared" si="1"/>
        <v>0</v>
      </c>
      <c r="F77" s="65">
        <f t="shared" si="2"/>
        <v>0</v>
      </c>
      <c r="J77" s="67"/>
    </row>
    <row r="78" spans="1:13">
      <c r="A78" s="228" t="s">
        <v>357</v>
      </c>
      <c r="B78" s="229">
        <v>23235.71</v>
      </c>
      <c r="C78" s="230"/>
      <c r="D78" s="229">
        <f t="shared" si="7"/>
        <v>0</v>
      </c>
      <c r="E78" s="230">
        <f t="shared" si="1"/>
        <v>0</v>
      </c>
      <c r="F78" s="65">
        <f t="shared" si="2"/>
        <v>0</v>
      </c>
      <c r="J78" s="67"/>
    </row>
    <row r="79" spans="1:13">
      <c r="A79" s="228" t="s">
        <v>408</v>
      </c>
      <c r="B79" s="229">
        <v>3350</v>
      </c>
      <c r="C79" s="230">
        <v>2.0990000000000002</v>
      </c>
      <c r="D79" s="229">
        <f t="shared" si="7"/>
        <v>7031.6500000000005</v>
      </c>
      <c r="E79" s="230">
        <f t="shared" si="1"/>
        <v>2.0990000000000002</v>
      </c>
      <c r="F79" s="65">
        <f t="shared" si="2"/>
        <v>7031.6500000000005</v>
      </c>
      <c r="J79" s="67"/>
    </row>
    <row r="80" spans="1:13">
      <c r="A80" s="228" t="s">
        <v>270</v>
      </c>
      <c r="B80" s="229">
        <v>2240.42</v>
      </c>
      <c r="C80" s="230">
        <v>1</v>
      </c>
      <c r="D80" s="229">
        <f t="shared" si="7"/>
        <v>2240.42</v>
      </c>
      <c r="E80" s="230">
        <f t="shared" si="1"/>
        <v>1</v>
      </c>
      <c r="F80" s="65">
        <f t="shared" si="2"/>
        <v>2240.42</v>
      </c>
      <c r="J80" s="67"/>
      <c r="L80" s="492"/>
      <c r="M80" s="492"/>
    </row>
    <row r="81" spans="1:119">
      <c r="A81" s="228" t="s">
        <v>268</v>
      </c>
      <c r="B81" s="229">
        <v>1224.1500000000001</v>
      </c>
      <c r="C81" s="230"/>
      <c r="D81" s="229">
        <f t="shared" si="7"/>
        <v>0</v>
      </c>
      <c r="E81" s="230">
        <f t="shared" si="1"/>
        <v>0</v>
      </c>
      <c r="F81" s="65">
        <f t="shared" si="2"/>
        <v>0</v>
      </c>
      <c r="J81" s="67"/>
      <c r="L81" s="492"/>
      <c r="M81" s="492"/>
    </row>
    <row r="82" spans="1:119">
      <c r="A82" s="228" t="s">
        <v>359</v>
      </c>
      <c r="B82" s="229">
        <v>8866.93</v>
      </c>
      <c r="C82" s="230">
        <v>1</v>
      </c>
      <c r="D82" s="229">
        <f t="shared" si="7"/>
        <v>8866.93</v>
      </c>
      <c r="E82" s="230">
        <f t="shared" si="1"/>
        <v>1</v>
      </c>
      <c r="F82" s="65">
        <f t="shared" si="2"/>
        <v>8866.93</v>
      </c>
      <c r="J82" s="67"/>
      <c r="L82" s="492"/>
      <c r="M82" s="492"/>
    </row>
    <row r="83" spans="1:119">
      <c r="A83" s="228" t="s">
        <v>437</v>
      </c>
      <c r="B83" s="229">
        <v>9500</v>
      </c>
      <c r="C83" s="230">
        <v>1</v>
      </c>
      <c r="D83" s="229">
        <f>C83*B83</f>
        <v>9500</v>
      </c>
      <c r="E83" s="230">
        <f>C83</f>
        <v>1</v>
      </c>
      <c r="F83" s="65">
        <f>D83</f>
        <v>9500</v>
      </c>
      <c r="J83" s="67"/>
      <c r="L83" s="492"/>
      <c r="M83" s="492"/>
    </row>
    <row r="84" spans="1:119">
      <c r="A84" s="228" t="s">
        <v>416</v>
      </c>
      <c r="B84" s="229">
        <v>1900.06</v>
      </c>
      <c r="C84" s="230"/>
      <c r="D84" s="229">
        <f t="shared" si="7"/>
        <v>0</v>
      </c>
      <c r="E84" s="230">
        <f>C84</f>
        <v>0</v>
      </c>
      <c r="F84" s="65">
        <f t="shared" si="2"/>
        <v>0</v>
      </c>
      <c r="J84" s="67"/>
      <c r="L84" s="492"/>
      <c r="M84" s="492"/>
    </row>
    <row r="85" spans="1:119">
      <c r="A85" s="228" t="s">
        <v>417</v>
      </c>
      <c r="B85" s="229">
        <v>1646.72</v>
      </c>
      <c r="C85" s="230"/>
      <c r="D85" s="229">
        <f t="shared" si="7"/>
        <v>0</v>
      </c>
      <c r="E85" s="230">
        <f>C85</f>
        <v>0</v>
      </c>
      <c r="F85" s="65">
        <f t="shared" si="2"/>
        <v>0</v>
      </c>
      <c r="J85" s="67"/>
      <c r="L85" s="492"/>
      <c r="M85" s="492"/>
    </row>
    <row r="86" spans="1:119">
      <c r="A86" s="228" t="s">
        <v>274</v>
      </c>
      <c r="B86" s="229">
        <v>11500</v>
      </c>
      <c r="C86" s="230"/>
      <c r="D86" s="229">
        <f t="shared" si="7"/>
        <v>0</v>
      </c>
      <c r="E86" s="230">
        <f>C86</f>
        <v>0</v>
      </c>
      <c r="F86" s="65">
        <f t="shared" si="2"/>
        <v>0</v>
      </c>
      <c r="J86" s="67"/>
      <c r="L86" s="492"/>
      <c r="M86" s="492"/>
    </row>
    <row r="87" spans="1:119" s="70" customFormat="1" ht="13.5" thickBot="1">
      <c r="A87" s="228" t="s">
        <v>41</v>
      </c>
      <c r="B87" s="234"/>
      <c r="C87" s="235">
        <f>SUM(C7:C86)</f>
        <v>404.375</v>
      </c>
      <c r="D87" s="234">
        <f>SUM(D7:D86)</f>
        <v>385964.02747999999</v>
      </c>
      <c r="E87" s="236">
        <f>SUM(E7:E86)</f>
        <v>404.375</v>
      </c>
      <c r="F87" s="234">
        <f>SUM(F7:F86)</f>
        <v>385964.02747999999</v>
      </c>
      <c r="G87" s="71"/>
      <c r="H87" s="71"/>
      <c r="I87" s="71"/>
      <c r="J87" s="68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1"/>
      <c r="CA87" s="71"/>
      <c r="CB87" s="71"/>
      <c r="CC87" s="71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1"/>
      <c r="CO87" s="71"/>
      <c r="CP87" s="71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  <c r="DD87" s="71"/>
      <c r="DE87" s="71"/>
      <c r="DF87" s="71"/>
      <c r="DG87" s="71"/>
      <c r="DH87" s="71"/>
      <c r="DI87" s="71"/>
      <c r="DJ87" s="71"/>
      <c r="DK87" s="71"/>
      <c r="DL87" s="71"/>
      <c r="DM87" s="71"/>
      <c r="DN87" s="71"/>
      <c r="DO87" s="71"/>
    </row>
    <row r="88" spans="1:119">
      <c r="A88" s="71"/>
      <c r="B88" s="72"/>
      <c r="C88" s="73"/>
      <c r="D88" s="72"/>
      <c r="E88" s="64"/>
      <c r="F88" s="74"/>
      <c r="J88" s="67"/>
      <c r="L88" s="492"/>
      <c r="M88" s="492"/>
    </row>
    <row r="89" spans="1:119">
      <c r="A89" s="75"/>
      <c r="B89" s="76"/>
      <c r="C89" s="77"/>
      <c r="D89" s="76"/>
      <c r="E89" s="78"/>
      <c r="F89" s="74"/>
      <c r="J89" s="66"/>
      <c r="L89" s="492"/>
      <c r="M89" s="492"/>
    </row>
    <row r="90" spans="1:119">
      <c r="A90" s="71"/>
      <c r="B90" s="79"/>
      <c r="C90" s="69"/>
      <c r="D90" s="79"/>
      <c r="J90" s="67"/>
    </row>
    <row r="91" spans="1:119">
      <c r="A91" s="71"/>
      <c r="B91" s="79"/>
      <c r="C91" s="69"/>
      <c r="D91" s="79"/>
      <c r="J91" s="67"/>
    </row>
    <row r="92" spans="1:119">
      <c r="A92" s="71"/>
      <c r="B92" s="79"/>
      <c r="C92" s="69"/>
      <c r="D92" s="79"/>
      <c r="J92" s="67"/>
    </row>
    <row r="93" spans="1:119">
      <c r="A93" s="71"/>
      <c r="B93" s="79"/>
      <c r="C93" s="69"/>
      <c r="D93" s="79"/>
    </row>
    <row r="94" spans="1:119">
      <c r="A94" s="71"/>
      <c r="B94" s="72"/>
      <c r="C94" s="73"/>
      <c r="D94" s="72"/>
      <c r="G94" s="74"/>
    </row>
    <row r="95" spans="1:119">
      <c r="A95" s="71"/>
      <c r="B95" s="79"/>
      <c r="C95" s="69"/>
      <c r="D95" s="79"/>
    </row>
    <row r="96" spans="1:119">
      <c r="A96" s="71"/>
      <c r="B96" s="79"/>
      <c r="C96" s="69"/>
      <c r="D96" s="79"/>
    </row>
    <row r="97" spans="1:4">
      <c r="A97" s="71"/>
      <c r="B97" s="79"/>
      <c r="C97" s="69"/>
      <c r="D97" s="79"/>
    </row>
    <row r="98" spans="1:4">
      <c r="A98" s="71"/>
      <c r="B98" s="79"/>
      <c r="C98" s="69"/>
      <c r="D98" s="79"/>
    </row>
    <row r="99" spans="1:4">
      <c r="A99" s="71"/>
      <c r="B99" s="72"/>
      <c r="C99" s="73"/>
      <c r="D99" s="72"/>
    </row>
    <row r="100" spans="1:4">
      <c r="A100" s="71"/>
      <c r="B100" s="79"/>
      <c r="C100" s="69"/>
      <c r="D100" s="79"/>
    </row>
    <row r="101" spans="1:4">
      <c r="A101" s="71"/>
      <c r="B101" s="79"/>
      <c r="C101" s="69"/>
      <c r="D101" s="79"/>
    </row>
    <row r="102" spans="1:4">
      <c r="A102" s="71"/>
      <c r="B102" s="79"/>
      <c r="C102" s="69"/>
      <c r="D102" s="79"/>
    </row>
    <row r="103" spans="1:4">
      <c r="A103" s="71"/>
      <c r="B103" s="79"/>
      <c r="C103" s="69"/>
      <c r="D103" s="79"/>
    </row>
    <row r="104" spans="1:4">
      <c r="A104" s="71"/>
      <c r="B104" s="79"/>
      <c r="C104" s="69"/>
      <c r="D104" s="79"/>
    </row>
    <row r="105" spans="1:4">
      <c r="A105" s="71"/>
      <c r="B105" s="79"/>
      <c r="C105" s="69"/>
      <c r="D105" s="79"/>
    </row>
    <row r="106" spans="1:4">
      <c r="A106" s="71"/>
      <c r="B106" s="72"/>
      <c r="C106" s="73"/>
      <c r="D106" s="72"/>
    </row>
    <row r="107" spans="1:4">
      <c r="A107" s="71"/>
      <c r="B107" s="79"/>
      <c r="C107" s="69"/>
      <c r="D107" s="79"/>
    </row>
    <row r="108" spans="1:4">
      <c r="A108" s="71"/>
      <c r="B108" s="79"/>
      <c r="C108" s="69"/>
      <c r="D108" s="79"/>
    </row>
    <row r="109" spans="1:4">
      <c r="A109" s="71"/>
      <c r="B109" s="79"/>
      <c r="C109" s="69"/>
      <c r="D109" s="79"/>
    </row>
    <row r="110" spans="1:4">
      <c r="A110" s="71"/>
      <c r="B110" s="79"/>
      <c r="C110" s="69"/>
      <c r="D110" s="79"/>
    </row>
    <row r="111" spans="1:4">
      <c r="A111" s="71"/>
      <c r="B111" s="79"/>
      <c r="C111" s="69"/>
      <c r="D111" s="79"/>
    </row>
    <row r="112" spans="1:4">
      <c r="A112" s="71"/>
      <c r="B112" s="79"/>
      <c r="C112" s="69"/>
      <c r="D112" s="79"/>
    </row>
    <row r="113" spans="1:4">
      <c r="A113" s="71"/>
      <c r="B113" s="79"/>
      <c r="C113" s="69"/>
      <c r="D113" s="79"/>
    </row>
    <row r="114" spans="1:4">
      <c r="A114" s="71"/>
      <c r="B114" s="79"/>
      <c r="C114" s="69"/>
      <c r="D114" s="79"/>
    </row>
    <row r="115" spans="1:4">
      <c r="A115" s="71"/>
      <c r="B115" s="79"/>
      <c r="C115" s="69"/>
      <c r="D115" s="79"/>
    </row>
    <row r="116" spans="1:4">
      <c r="A116" s="71"/>
      <c r="B116" s="79"/>
      <c r="C116" s="69"/>
      <c r="D116" s="79"/>
    </row>
    <row r="117" spans="1:4" ht="12" customHeight="1">
      <c r="A117" s="71"/>
      <c r="B117" s="79"/>
      <c r="C117" s="69"/>
      <c r="D117" s="79"/>
    </row>
    <row r="118" spans="1:4">
      <c r="A118" s="71"/>
      <c r="B118" s="79"/>
      <c r="C118" s="69"/>
      <c r="D118" s="79"/>
    </row>
    <row r="119" spans="1:4">
      <c r="A119" s="71"/>
      <c r="B119" s="79"/>
      <c r="C119" s="69"/>
      <c r="D119" s="79"/>
    </row>
    <row r="120" spans="1:4">
      <c r="A120" s="71"/>
      <c r="B120" s="79"/>
      <c r="C120" s="69"/>
      <c r="D120" s="79"/>
    </row>
    <row r="121" spans="1:4">
      <c r="A121" s="71"/>
      <c r="B121" s="79"/>
      <c r="C121" s="69"/>
      <c r="D121" s="79"/>
    </row>
    <row r="122" spans="1:4">
      <c r="A122" s="71"/>
      <c r="B122" s="79"/>
      <c r="C122" s="69"/>
      <c r="D122" s="79"/>
    </row>
    <row r="123" spans="1:4">
      <c r="A123" s="71"/>
      <c r="B123" s="79"/>
      <c r="C123" s="69"/>
      <c r="D123" s="79"/>
    </row>
    <row r="124" spans="1:4">
      <c r="A124" s="71"/>
      <c r="B124" s="72"/>
      <c r="C124" s="73"/>
      <c r="D124" s="72"/>
    </row>
    <row r="125" spans="1:4">
      <c r="A125" s="71"/>
      <c r="B125" s="79"/>
      <c r="C125" s="69"/>
      <c r="D125" s="79"/>
    </row>
    <row r="126" spans="1:4">
      <c r="A126" s="71"/>
      <c r="B126" s="79"/>
      <c r="C126" s="69"/>
      <c r="D126" s="79"/>
    </row>
    <row r="127" spans="1:4">
      <c r="A127" s="71"/>
      <c r="B127" s="79"/>
      <c r="C127" s="69"/>
      <c r="D127" s="79"/>
    </row>
    <row r="128" spans="1:4">
      <c r="A128" s="71"/>
      <c r="B128" s="79"/>
      <c r="C128" s="69"/>
      <c r="D128" s="79"/>
    </row>
    <row r="129" spans="1:10">
      <c r="A129" s="71"/>
      <c r="B129" s="79"/>
      <c r="C129" s="69"/>
      <c r="D129" s="79"/>
    </row>
    <row r="130" spans="1:10">
      <c r="A130" s="71"/>
      <c r="B130" s="79"/>
      <c r="C130" s="69"/>
      <c r="D130" s="79"/>
    </row>
    <row r="131" spans="1:10">
      <c r="A131" s="71"/>
      <c r="B131" s="72"/>
      <c r="C131" s="73"/>
      <c r="D131" s="72"/>
    </row>
    <row r="132" spans="1:10">
      <c r="A132" s="71"/>
      <c r="B132" s="72"/>
      <c r="C132" s="73"/>
      <c r="D132" s="72"/>
    </row>
    <row r="133" spans="1:10">
      <c r="A133" s="71"/>
      <c r="B133" s="72"/>
      <c r="C133" s="73"/>
      <c r="D133" s="72"/>
    </row>
    <row r="134" spans="1:10">
      <c r="A134" s="75"/>
      <c r="B134" s="76"/>
      <c r="C134" s="77"/>
      <c r="D134" s="76"/>
    </row>
    <row r="135" spans="1:10" ht="15.75" thickBot="1">
      <c r="A135" s="71"/>
      <c r="B135" s="79"/>
      <c r="C135" s="69"/>
      <c r="D135" s="79"/>
      <c r="J135" s="70"/>
    </row>
    <row r="136" spans="1:10">
      <c r="A136" s="71"/>
      <c r="B136" s="79"/>
      <c r="C136" s="69"/>
      <c r="D136" s="79"/>
    </row>
    <row r="137" spans="1:10">
      <c r="A137" s="71"/>
      <c r="B137" s="79"/>
      <c r="C137" s="69"/>
      <c r="D137" s="79"/>
    </row>
    <row r="138" spans="1:10">
      <c r="A138" s="71"/>
      <c r="B138" s="79"/>
      <c r="C138" s="69"/>
      <c r="D138" s="79"/>
    </row>
    <row r="139" spans="1:10">
      <c r="A139" s="71"/>
      <c r="B139" s="79"/>
      <c r="C139" s="69"/>
      <c r="D139" s="79"/>
    </row>
    <row r="140" spans="1:10">
      <c r="A140" s="71"/>
      <c r="B140" s="72"/>
      <c r="C140" s="73"/>
      <c r="D140" s="72"/>
    </row>
    <row r="141" spans="1:10">
      <c r="A141" s="71"/>
      <c r="B141" s="79"/>
      <c r="C141" s="69"/>
      <c r="D141" s="79"/>
    </row>
    <row r="142" spans="1:10">
      <c r="A142" s="71"/>
      <c r="B142" s="79"/>
      <c r="C142" s="69"/>
      <c r="D142" s="79"/>
    </row>
    <row r="143" spans="1:10">
      <c r="A143" s="71"/>
      <c r="B143" s="79"/>
      <c r="C143" s="69"/>
      <c r="D143" s="79"/>
    </row>
    <row r="144" spans="1:10">
      <c r="A144" s="71"/>
      <c r="B144" s="79"/>
      <c r="C144" s="69"/>
      <c r="D144" s="79"/>
    </row>
    <row r="145" spans="1:4">
      <c r="A145" s="71"/>
      <c r="B145" s="79"/>
      <c r="C145" s="69"/>
      <c r="D145" s="79"/>
    </row>
    <row r="146" spans="1:4">
      <c r="A146" s="71"/>
      <c r="B146" s="72"/>
      <c r="C146" s="73"/>
      <c r="D146" s="72"/>
    </row>
    <row r="147" spans="1:4">
      <c r="A147" s="71"/>
      <c r="B147" s="79"/>
      <c r="C147" s="69"/>
      <c r="D147" s="79"/>
    </row>
    <row r="148" spans="1:4">
      <c r="A148" s="71"/>
      <c r="B148" s="79"/>
      <c r="C148" s="69"/>
      <c r="D148" s="79"/>
    </row>
    <row r="149" spans="1:4">
      <c r="A149" s="71"/>
      <c r="B149" s="79"/>
      <c r="C149" s="69"/>
      <c r="D149" s="79"/>
    </row>
    <row r="150" spans="1:4">
      <c r="A150" s="71"/>
      <c r="B150" s="79"/>
      <c r="C150" s="69"/>
      <c r="D150" s="79"/>
    </row>
    <row r="151" spans="1:4">
      <c r="A151" s="71"/>
      <c r="B151" s="72"/>
      <c r="C151" s="73"/>
      <c r="D151" s="72"/>
    </row>
    <row r="152" spans="1:4">
      <c r="A152" s="71"/>
      <c r="B152" s="79"/>
      <c r="C152" s="69"/>
      <c r="D152" s="79"/>
    </row>
    <row r="153" spans="1:4">
      <c r="A153" s="71"/>
      <c r="B153" s="79"/>
      <c r="C153" s="69"/>
      <c r="D153" s="79"/>
    </row>
    <row r="154" spans="1:4">
      <c r="A154" s="71"/>
      <c r="B154" s="79"/>
      <c r="C154" s="69"/>
      <c r="D154" s="79"/>
    </row>
    <row r="155" spans="1:4">
      <c r="A155" s="71"/>
      <c r="B155" s="79"/>
      <c r="C155" s="69"/>
      <c r="D155" s="79"/>
    </row>
    <row r="156" spans="1:4">
      <c r="A156" s="71"/>
      <c r="B156" s="79"/>
      <c r="C156" s="69"/>
      <c r="D156" s="79"/>
    </row>
    <row r="157" spans="1:4">
      <c r="A157" s="71"/>
      <c r="B157" s="79"/>
      <c r="C157" s="69"/>
      <c r="D157" s="79"/>
    </row>
    <row r="158" spans="1:4">
      <c r="A158" s="71"/>
      <c r="B158" s="79"/>
      <c r="C158" s="69"/>
      <c r="D158" s="79"/>
    </row>
    <row r="159" spans="1:4">
      <c r="A159" s="71"/>
      <c r="B159" s="79"/>
      <c r="C159" s="69"/>
      <c r="D159" s="79"/>
    </row>
    <row r="160" spans="1:4">
      <c r="A160" s="71"/>
      <c r="B160" s="79"/>
      <c r="C160" s="69"/>
      <c r="D160" s="79"/>
    </row>
    <row r="161" spans="1:4">
      <c r="A161" s="71"/>
      <c r="B161" s="79"/>
      <c r="C161" s="69"/>
      <c r="D161" s="79"/>
    </row>
    <row r="162" spans="1:4">
      <c r="A162" s="71"/>
      <c r="B162" s="79"/>
      <c r="C162" s="69"/>
      <c r="D162" s="79"/>
    </row>
    <row r="163" spans="1:4">
      <c r="A163" s="71"/>
      <c r="B163" s="79"/>
      <c r="C163" s="69"/>
      <c r="D163" s="79"/>
    </row>
    <row r="164" spans="1:4">
      <c r="A164" s="71"/>
      <c r="B164" s="79"/>
      <c r="C164" s="69"/>
      <c r="D164" s="79"/>
    </row>
    <row r="165" spans="1:4">
      <c r="A165" s="71"/>
      <c r="B165" s="79"/>
      <c r="C165" s="69"/>
      <c r="D165" s="79"/>
    </row>
    <row r="166" spans="1:4">
      <c r="A166" s="71"/>
      <c r="B166" s="79"/>
      <c r="C166" s="69"/>
      <c r="D166" s="79"/>
    </row>
    <row r="167" spans="1:4">
      <c r="A167" s="71"/>
      <c r="B167" s="79"/>
      <c r="C167" s="69"/>
      <c r="D167" s="79"/>
    </row>
    <row r="168" spans="1:4">
      <c r="A168" s="71"/>
      <c r="B168" s="79"/>
      <c r="C168" s="69"/>
      <c r="D168" s="79"/>
    </row>
    <row r="169" spans="1:4">
      <c r="A169" s="71"/>
      <c r="B169" s="72"/>
      <c r="C169" s="73"/>
      <c r="D169" s="72"/>
    </row>
    <row r="170" spans="1:4">
      <c r="A170" s="71"/>
      <c r="B170" s="72"/>
      <c r="C170" s="73"/>
      <c r="D170" s="72"/>
    </row>
    <row r="171" spans="1:4">
      <c r="A171" s="71"/>
      <c r="B171" s="79"/>
      <c r="C171" s="69"/>
      <c r="D171" s="79"/>
    </row>
    <row r="172" spans="1:4">
      <c r="A172" s="71"/>
      <c r="B172" s="79"/>
      <c r="C172" s="69"/>
      <c r="D172" s="79"/>
    </row>
    <row r="173" spans="1:4">
      <c r="A173" s="71"/>
      <c r="B173" s="79"/>
      <c r="C173" s="69"/>
      <c r="D173" s="79"/>
    </row>
    <row r="174" spans="1:4">
      <c r="A174" s="71"/>
      <c r="B174" s="79"/>
      <c r="C174" s="69"/>
      <c r="D174" s="79"/>
    </row>
    <row r="175" spans="1:4">
      <c r="A175" s="71"/>
      <c r="B175" s="72"/>
      <c r="C175" s="73"/>
      <c r="D175" s="72"/>
    </row>
    <row r="176" spans="1:4">
      <c r="A176" s="71"/>
      <c r="B176" s="72"/>
      <c r="C176" s="73"/>
      <c r="D176" s="72"/>
    </row>
    <row r="177" spans="1:4">
      <c r="A177" s="71"/>
      <c r="B177" s="72"/>
      <c r="C177" s="73"/>
      <c r="D177" s="72"/>
    </row>
  </sheetData>
  <mergeCells count="1">
    <mergeCell ref="C5:D5"/>
  </mergeCells>
  <phoneticPr fontId="40" type="noConversion"/>
  <pageMargins left="0.8" right="0.43" top="0.66" bottom="0.49" header="0.5" footer="0.4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TB</vt:lpstr>
      <vt:lpstr>TB (2)</vt:lpstr>
      <vt:lpstr>BS</vt:lpstr>
      <vt:lpstr>BS SCHED</vt:lpstr>
      <vt:lpstr>IS</vt:lpstr>
      <vt:lpstr>IS SCHED</vt:lpstr>
      <vt:lpstr>Lapsing</vt:lpstr>
      <vt:lpstr>C.O.S (2)</vt:lpstr>
      <vt:lpstr>BS!Print_Area</vt:lpstr>
      <vt:lpstr>'BS SCHED'!Print_Area</vt:lpstr>
      <vt:lpstr>'C.O.S (2)'!Print_Area</vt:lpstr>
      <vt:lpstr>IS!Print_Area</vt:lpstr>
      <vt:lpstr>'IS SCHED'!Print_Area</vt:lpstr>
      <vt:lpstr>Lapsing!Print_Area</vt:lpstr>
      <vt:lpstr>TB!Print_Area</vt:lpstr>
      <vt:lpstr>'BS SCHED'!Print_Titles</vt:lpstr>
      <vt:lpstr>'IS SCHED'!Print_Titles</vt:lpstr>
      <vt:lpstr>Lapsing!Print_Titles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2015-04-07T05:56:23Z</cp:lastPrinted>
  <dcterms:created xsi:type="dcterms:W3CDTF">2013-03-06T10:30:12Z</dcterms:created>
  <dcterms:modified xsi:type="dcterms:W3CDTF">2015-04-28T07:22:56Z</dcterms:modified>
</cp:coreProperties>
</file>